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sv.wa.lcl\SAO\USER\burlesod\Documents\KEEP\BARS UPDATES\2018\"/>
    </mc:Choice>
  </mc:AlternateContent>
  <bookViews>
    <workbookView xWindow="0" yWindow="0" windowWidth="16457" windowHeight="4423"/>
  </bookViews>
  <sheets>
    <sheet name="Instructions" sheetId="13" r:id="rId1"/>
    <sheet name="4 - Summary" sheetId="2" r:id="rId2"/>
    <sheet name="1,2,3 - PERS_1" sheetId="7" r:id="rId3"/>
    <sheet name="1,2,3 - PERS_2-3" sheetId="1" r:id="rId4"/>
    <sheet name="1,2,3 - PSERS" sheetId="8" r:id="rId5"/>
    <sheet name="1,2,3 - LEOFF_1" sheetId="10" r:id="rId6"/>
    <sheet name="1,2,3 - LEOFF_2" sheetId="9" r:id="rId7"/>
    <sheet name="5 - SpecFndg" sheetId="11" r:id="rId8"/>
    <sheet name="6 - Amort - Notes" sheetId="12" r:id="rId9"/>
    <sheet name="6 - Sensitivity - Notes" sheetId="6" r:id="rId10"/>
  </sheets>
  <definedNames>
    <definedName name="_xlnm.Print_Area" localSheetId="6">'1,2,3 - LEOFF_2'!$A$47:$S$91</definedName>
    <definedName name="_xlnm.Print_Area" localSheetId="3">'1,2,3 - PERS_2-3'!$H$39:$R$56</definedName>
    <definedName name="_xlnm.Print_Area" localSheetId="8">'6 - Amort - Notes'!$S$61:$AI$71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8" i="11" l="1"/>
  <c r="L21" i="2" l="1"/>
  <c r="L13" i="2"/>
  <c r="J21" i="2"/>
  <c r="I21" i="2"/>
  <c r="I13" i="2"/>
  <c r="C29" i="11"/>
  <c r="G113" i="9"/>
  <c r="G111" i="9"/>
  <c r="G104" i="9"/>
  <c r="E42" i="9"/>
  <c r="D41" i="9"/>
  <c r="AI58" i="12"/>
  <c r="AI56" i="12"/>
  <c r="AI55" i="12"/>
  <c r="AI54" i="12"/>
  <c r="AI53" i="12"/>
  <c r="AI52" i="12"/>
  <c r="AH58" i="12"/>
  <c r="AH56" i="12"/>
  <c r="AH55" i="12"/>
  <c r="AH54" i="12"/>
  <c r="AH53" i="12"/>
  <c r="AH52" i="12"/>
  <c r="K85" i="9"/>
  <c r="N77" i="9" s="1"/>
  <c r="L85" i="9"/>
  <c r="R67" i="9"/>
  <c r="Q67" i="9"/>
  <c r="P67" i="9"/>
  <c r="O67" i="9"/>
  <c r="N67" i="9"/>
  <c r="M67" i="9"/>
  <c r="L67" i="9"/>
  <c r="K67" i="9"/>
  <c r="J67" i="9"/>
  <c r="R65" i="9"/>
  <c r="Q65" i="9"/>
  <c r="Q64" i="9"/>
  <c r="Q63" i="9"/>
  <c r="Q62" i="9"/>
  <c r="Q61" i="9"/>
  <c r="Q60" i="9"/>
  <c r="Q59" i="9"/>
  <c r="Q58" i="9"/>
  <c r="Q57" i="9"/>
  <c r="Q56" i="9"/>
  <c r="P65" i="9"/>
  <c r="P64" i="9"/>
  <c r="P63" i="9"/>
  <c r="P62" i="9"/>
  <c r="P61" i="9"/>
  <c r="P60" i="9"/>
  <c r="P59" i="9"/>
  <c r="P58" i="9"/>
  <c r="P57" i="9"/>
  <c r="P56" i="9"/>
  <c r="E42" i="8"/>
  <c r="D41" i="8"/>
  <c r="G102" i="8"/>
  <c r="B82" i="7"/>
  <c r="G91" i="1"/>
  <c r="G94" i="8"/>
  <c r="L82" i="8"/>
  <c r="Z58" i="12"/>
  <c r="Z56" i="12"/>
  <c r="Z55" i="12"/>
  <c r="Z54" i="12"/>
  <c r="Z53" i="12"/>
  <c r="Z52" i="12"/>
  <c r="AA56" i="12"/>
  <c r="AA55" i="12"/>
  <c r="AA54" i="12"/>
  <c r="AA53" i="12"/>
  <c r="AA52" i="12"/>
  <c r="P58" i="1"/>
  <c r="P57" i="1"/>
  <c r="P56" i="1"/>
  <c r="P55" i="1"/>
  <c r="P54" i="1"/>
  <c r="P53" i="1"/>
  <c r="P52" i="1"/>
  <c r="R63" i="8"/>
  <c r="P63" i="8"/>
  <c r="P62" i="8"/>
  <c r="P61" i="8"/>
  <c r="P60" i="8"/>
  <c r="P59" i="8"/>
  <c r="P58" i="8"/>
  <c r="P57" i="8"/>
  <c r="P56" i="8"/>
  <c r="P55" i="8"/>
  <c r="P54" i="8"/>
  <c r="P53" i="8"/>
  <c r="P52" i="8"/>
  <c r="Q63" i="8"/>
  <c r="Q62" i="8"/>
  <c r="Q61" i="8"/>
  <c r="Q60" i="8"/>
  <c r="Q59" i="8"/>
  <c r="Q58" i="8"/>
  <c r="Q57" i="8"/>
  <c r="Q56" i="8"/>
  <c r="Q55" i="8"/>
  <c r="Q54" i="8"/>
  <c r="Q53" i="8"/>
  <c r="Q52" i="8"/>
  <c r="O65" i="8"/>
  <c r="AA58" i="12" s="1"/>
  <c r="N65" i="8"/>
  <c r="M65" i="8"/>
  <c r="L65" i="8"/>
  <c r="K65" i="8"/>
  <c r="J65" i="8"/>
  <c r="K82" i="8" l="1"/>
  <c r="J13" i="2" s="1"/>
  <c r="N74" i="8"/>
  <c r="P65" i="8"/>
  <c r="Q65" i="8"/>
  <c r="G99" i="1" l="1"/>
  <c r="V56" i="12"/>
  <c r="V55" i="12"/>
  <c r="V54" i="12"/>
  <c r="V53" i="12"/>
  <c r="V52" i="12"/>
  <c r="W58" i="12"/>
  <c r="W57" i="12"/>
  <c r="W56" i="12"/>
  <c r="W55" i="12"/>
  <c r="W54" i="12"/>
  <c r="W53" i="12"/>
  <c r="W52" i="12"/>
  <c r="K79" i="1"/>
  <c r="D41" i="1"/>
  <c r="E42" i="1"/>
  <c r="R58" i="1"/>
  <c r="Q60" i="1"/>
  <c r="O60" i="1"/>
  <c r="N60" i="1"/>
  <c r="M60" i="1"/>
  <c r="L60" i="1"/>
  <c r="K60" i="1"/>
  <c r="J60" i="1"/>
  <c r="Q58" i="1"/>
  <c r="Q57" i="1"/>
  <c r="Q56" i="1"/>
  <c r="Q55" i="1"/>
  <c r="Q54" i="1"/>
  <c r="Q53" i="1"/>
  <c r="Q52" i="1"/>
  <c r="P59" i="1"/>
  <c r="P60" i="1" l="1"/>
  <c r="V58" i="12" l="1"/>
  <c r="L79" i="1"/>
  <c r="N68" i="1" s="1"/>
  <c r="F91" i="10"/>
  <c r="D25" i="10" l="1"/>
  <c r="E24" i="10"/>
  <c r="G81" i="7"/>
  <c r="D28" i="7"/>
  <c r="R54" i="9" l="1"/>
  <c r="R53" i="9"/>
  <c r="R50" i="8" l="1"/>
  <c r="R49" i="8"/>
  <c r="R49" i="1" l="1"/>
  <c r="R50" i="1"/>
  <c r="AI11" i="12" l="1"/>
  <c r="AI36" i="12" s="1"/>
  <c r="AG11" i="12"/>
  <c r="AA11" i="12"/>
  <c r="Z36" i="12" s="1"/>
  <c r="W11" i="12"/>
  <c r="W22" i="12" s="1"/>
  <c r="U11" i="12"/>
  <c r="V36" i="12" l="1"/>
  <c r="W36" i="12"/>
  <c r="V22" i="12"/>
  <c r="AH22" i="12"/>
  <c r="AI22" i="12"/>
  <c r="AH36" i="12"/>
  <c r="AA36" i="12"/>
  <c r="Z22" i="12"/>
  <c r="AA22" i="12"/>
  <c r="AE58" i="12" l="1"/>
  <c r="AI44" i="12"/>
  <c r="AI43" i="12"/>
  <c r="AI42" i="12"/>
  <c r="AI41" i="12"/>
  <c r="AI40" i="12"/>
  <c r="AI39" i="12"/>
  <c r="AH44" i="12"/>
  <c r="AH43" i="12"/>
  <c r="AH42" i="12"/>
  <c r="AH41" i="12"/>
  <c r="AH40" i="12"/>
  <c r="AH39" i="12"/>
  <c r="AE44" i="12"/>
  <c r="AE43" i="12"/>
  <c r="AE42" i="12"/>
  <c r="AE41" i="12"/>
  <c r="AE40" i="12"/>
  <c r="AE39" i="12"/>
  <c r="AD44" i="12"/>
  <c r="AD43" i="12"/>
  <c r="AD42" i="12"/>
  <c r="AD41" i="12"/>
  <c r="AD40" i="12"/>
  <c r="AD39" i="12"/>
  <c r="AA44" i="12"/>
  <c r="AA43" i="12"/>
  <c r="AA42" i="12"/>
  <c r="AA41" i="12"/>
  <c r="AA40" i="12"/>
  <c r="AA39" i="12"/>
  <c r="Z44" i="12"/>
  <c r="Z43" i="12"/>
  <c r="Z42" i="12"/>
  <c r="Z41" i="12"/>
  <c r="Z40" i="12"/>
  <c r="Z39" i="12"/>
  <c r="Y44" i="12"/>
  <c r="Y43" i="12"/>
  <c r="Y42" i="12"/>
  <c r="Y41" i="12"/>
  <c r="Y40" i="12"/>
  <c r="Y39" i="12"/>
  <c r="X44" i="12"/>
  <c r="X43" i="12"/>
  <c r="X42" i="12"/>
  <c r="X41" i="12"/>
  <c r="X40" i="12"/>
  <c r="X39" i="12"/>
  <c r="W44" i="12"/>
  <c r="W43" i="12"/>
  <c r="W42" i="12"/>
  <c r="W41" i="12"/>
  <c r="W40" i="12"/>
  <c r="W39" i="12"/>
  <c r="V44" i="12"/>
  <c r="V43" i="12"/>
  <c r="V42" i="12"/>
  <c r="V41" i="12"/>
  <c r="V40" i="12"/>
  <c r="V39" i="12"/>
  <c r="AI30" i="12"/>
  <c r="AI29" i="12"/>
  <c r="AI28" i="12"/>
  <c r="AI27" i="12"/>
  <c r="AI26" i="12"/>
  <c r="AI25" i="12"/>
  <c r="AH30" i="12"/>
  <c r="AH29" i="12"/>
  <c r="AH28" i="12"/>
  <c r="AH27" i="12"/>
  <c r="AH26" i="12"/>
  <c r="AH25" i="12"/>
  <c r="AE30" i="12"/>
  <c r="AE29" i="12"/>
  <c r="AE28" i="12"/>
  <c r="AE27" i="12"/>
  <c r="AE26" i="12"/>
  <c r="AE25" i="12"/>
  <c r="AD30" i="12"/>
  <c r="AD29" i="12"/>
  <c r="AD28" i="12"/>
  <c r="AD27" i="12"/>
  <c r="AD26" i="12"/>
  <c r="AD25" i="12"/>
  <c r="AA30" i="12"/>
  <c r="AA29" i="12"/>
  <c r="AA28" i="12"/>
  <c r="AA27" i="12"/>
  <c r="AA26" i="12"/>
  <c r="AA25" i="12"/>
  <c r="Z30" i="12"/>
  <c r="Z29" i="12"/>
  <c r="Z28" i="12"/>
  <c r="Z27" i="12"/>
  <c r="Z26" i="12"/>
  <c r="Z25" i="12"/>
  <c r="Y30" i="12"/>
  <c r="X70" i="12" s="1"/>
  <c r="Y29" i="12"/>
  <c r="Y28" i="12"/>
  <c r="Y27" i="12"/>
  <c r="Y26" i="12"/>
  <c r="Y25" i="12"/>
  <c r="X30" i="12"/>
  <c r="X29" i="12"/>
  <c r="X28" i="12"/>
  <c r="X27" i="12"/>
  <c r="X26" i="12"/>
  <c r="X25" i="12"/>
  <c r="W30" i="12"/>
  <c r="W29" i="12"/>
  <c r="W28" i="12"/>
  <c r="W27" i="12"/>
  <c r="W26" i="12"/>
  <c r="W25" i="12"/>
  <c r="V30" i="12"/>
  <c r="V29" i="12"/>
  <c r="V28" i="12"/>
  <c r="V27" i="12"/>
  <c r="V26" i="12"/>
  <c r="V25" i="12"/>
  <c r="AI16" i="12"/>
  <c r="AI15" i="12"/>
  <c r="AI14" i="12"/>
  <c r="AI13" i="12"/>
  <c r="AG16" i="12"/>
  <c r="AF68" i="12" s="1"/>
  <c r="L73" i="10" s="1"/>
  <c r="AG15" i="12"/>
  <c r="AF67" i="12" s="1"/>
  <c r="L72" i="10" s="1"/>
  <c r="AG14" i="12"/>
  <c r="AF66" i="12" s="1"/>
  <c r="L71" i="10" s="1"/>
  <c r="AG13" i="12"/>
  <c r="AF65" i="12" s="1"/>
  <c r="AE16" i="12"/>
  <c r="AE15" i="12"/>
  <c r="AE14" i="12"/>
  <c r="AE13" i="12"/>
  <c r="AC16" i="12"/>
  <c r="AB68" i="12" s="1"/>
  <c r="AC15" i="12"/>
  <c r="AB67" i="12" s="1"/>
  <c r="AC14" i="12"/>
  <c r="AB66" i="12" s="1"/>
  <c r="AC13" i="12"/>
  <c r="AB65" i="12" s="1"/>
  <c r="Y16" i="12"/>
  <c r="Y15" i="12"/>
  <c r="Y14" i="12"/>
  <c r="Y13" i="12"/>
  <c r="AA16" i="12"/>
  <c r="AA15" i="12"/>
  <c r="AA14" i="12"/>
  <c r="AA13" i="12"/>
  <c r="W16" i="12"/>
  <c r="W15" i="12"/>
  <c r="W14" i="12"/>
  <c r="W13" i="12"/>
  <c r="U16" i="12"/>
  <c r="T68" i="12" s="1"/>
  <c r="L65" i="7" s="1"/>
  <c r="U15" i="12"/>
  <c r="T67" i="12" s="1"/>
  <c r="L64" i="7" s="1"/>
  <c r="U14" i="12"/>
  <c r="T66" i="12" s="1"/>
  <c r="L63" i="7" s="1"/>
  <c r="U13" i="12"/>
  <c r="T65" i="12" s="1"/>
  <c r="Q17" i="12"/>
  <c r="O17" i="12"/>
  <c r="M17" i="12"/>
  <c r="K17" i="12"/>
  <c r="I17" i="12"/>
  <c r="G17" i="12"/>
  <c r="E17" i="12"/>
  <c r="C17" i="12"/>
  <c r="Q45" i="12"/>
  <c r="P45" i="12"/>
  <c r="O45" i="12"/>
  <c r="N45" i="12"/>
  <c r="M45" i="12"/>
  <c r="L45" i="12"/>
  <c r="K45" i="12"/>
  <c r="J45" i="12"/>
  <c r="I45" i="12"/>
  <c r="H45" i="12"/>
  <c r="G45" i="12"/>
  <c r="F45" i="12"/>
  <c r="E45" i="12"/>
  <c r="D45" i="12"/>
  <c r="C45" i="12"/>
  <c r="B45" i="12"/>
  <c r="Q31" i="12"/>
  <c r="O31" i="12"/>
  <c r="M31" i="12"/>
  <c r="K31" i="12"/>
  <c r="I31" i="12"/>
  <c r="G31" i="12"/>
  <c r="E31" i="12"/>
  <c r="C31" i="12"/>
  <c r="P31" i="12"/>
  <c r="N31" i="12"/>
  <c r="L31" i="12"/>
  <c r="J31" i="12"/>
  <c r="H31" i="12"/>
  <c r="F31" i="12"/>
  <c r="D31" i="12"/>
  <c r="B31" i="12"/>
  <c r="AD70" i="12" l="1"/>
  <c r="AD69" i="12"/>
  <c r="X69" i="12"/>
  <c r="AD68" i="12"/>
  <c r="AD67" i="12"/>
  <c r="AD66" i="12"/>
  <c r="AD65" i="12"/>
  <c r="X68" i="12"/>
  <c r="X67" i="12"/>
  <c r="X66" i="12"/>
  <c r="X65" i="12"/>
  <c r="AF71" i="12"/>
  <c r="L70" i="10"/>
  <c r="AB71" i="12"/>
  <c r="T71" i="12"/>
  <c r="L62" i="7"/>
  <c r="X45" i="12"/>
  <c r="AD45" i="12"/>
  <c r="AC17" i="12"/>
  <c r="AE17" i="12"/>
  <c r="AA17" i="12"/>
  <c r="AH45" i="12"/>
  <c r="AA31" i="12"/>
  <c r="W31" i="12"/>
  <c r="AI31" i="12"/>
  <c r="AD58" i="12"/>
  <c r="Y58" i="12"/>
  <c r="V45" i="12"/>
  <c r="V31" i="12"/>
  <c r="Z31" i="12"/>
  <c r="AD31" i="12"/>
  <c r="U17" i="12"/>
  <c r="Y45" i="12"/>
  <c r="Z45" i="12"/>
  <c r="X58" i="12"/>
  <c r="AE31" i="12"/>
  <c r="W45" i="12"/>
  <c r="AA45" i="12"/>
  <c r="AI45" i="12"/>
  <c r="Y31" i="12"/>
  <c r="AH31" i="12"/>
  <c r="AE45" i="12"/>
  <c r="X31" i="12"/>
  <c r="AG17" i="12"/>
  <c r="Y17" i="12"/>
  <c r="W17" i="12"/>
  <c r="AI17" i="12"/>
  <c r="X71" i="12" l="1"/>
  <c r="AD71" i="12"/>
  <c r="J16" i="6"/>
  <c r="I16" i="6"/>
  <c r="H16" i="6"/>
  <c r="K55" i="7" l="1"/>
  <c r="B114" i="9" l="1"/>
  <c r="G81" i="10"/>
  <c r="E81" i="10"/>
  <c r="B103" i="8"/>
  <c r="B100" i="1"/>
  <c r="G75" i="7"/>
  <c r="E41" i="11" l="1"/>
  <c r="E46" i="9" s="1"/>
  <c r="D40" i="11" l="1"/>
  <c r="D45" i="9" l="1"/>
  <c r="G112" i="9" s="1"/>
  <c r="B87" i="10"/>
  <c r="E38" i="10"/>
  <c r="E36" i="10"/>
  <c r="D36" i="10"/>
  <c r="M17" i="10"/>
  <c r="G87" i="10" s="1"/>
  <c r="K17" i="10"/>
  <c r="L56" i="10" s="1"/>
  <c r="J17" i="10"/>
  <c r="K19" i="2" s="1"/>
  <c r="I17" i="10"/>
  <c r="K18" i="2" s="1"/>
  <c r="G17" i="10"/>
  <c r="K56" i="10" s="1"/>
  <c r="F17" i="10"/>
  <c r="K54" i="10" s="1"/>
  <c r="E17" i="10"/>
  <c r="K10" i="2" s="1"/>
  <c r="D17" i="10"/>
  <c r="K16" i="10"/>
  <c r="J16" i="10"/>
  <c r="I16" i="10"/>
  <c r="G16" i="10"/>
  <c r="F16" i="10"/>
  <c r="E16" i="10"/>
  <c r="D16" i="10"/>
  <c r="L13" i="10"/>
  <c r="L17" i="10" s="1"/>
  <c r="H13" i="10"/>
  <c r="H17" i="10" s="1"/>
  <c r="L12" i="10"/>
  <c r="L16" i="10" s="1"/>
  <c r="H12" i="10"/>
  <c r="E40" i="10" s="1"/>
  <c r="L14" i="2"/>
  <c r="H106" i="9" l="1"/>
  <c r="B113" i="9" s="1"/>
  <c r="F80" i="10"/>
  <c r="L50" i="10"/>
  <c r="K12" i="2"/>
  <c r="K11" i="2"/>
  <c r="K15" i="2" s="1"/>
  <c r="B80" i="10"/>
  <c r="D22" i="10"/>
  <c r="K28" i="11"/>
  <c r="B79" i="10"/>
  <c r="E23" i="10"/>
  <c r="L54" i="10"/>
  <c r="L66" i="10" s="1"/>
  <c r="K50" i="10"/>
  <c r="K66" i="10" s="1"/>
  <c r="K20" i="2"/>
  <c r="K5" i="2"/>
  <c r="L76" i="10"/>
  <c r="K22" i="2"/>
  <c r="B85" i="10"/>
  <c r="D80" i="10"/>
  <c r="E42" i="10"/>
  <c r="D38" i="10"/>
  <c r="F38" i="10" s="1"/>
  <c r="D42" i="10"/>
  <c r="F79" i="10"/>
  <c r="H16" i="10"/>
  <c r="J14" i="2"/>
  <c r="E105" i="9"/>
  <c r="E104" i="9"/>
  <c r="E106" i="9" s="1"/>
  <c r="K88" i="9"/>
  <c r="E56" i="9"/>
  <c r="E52" i="9"/>
  <c r="D52" i="9"/>
  <c r="E32" i="9"/>
  <c r="D31" i="9"/>
  <c r="M17" i="9"/>
  <c r="G110" i="9" s="1"/>
  <c r="K17" i="9"/>
  <c r="J17" i="9"/>
  <c r="I17" i="9"/>
  <c r="G17" i="9"/>
  <c r="F17" i="9"/>
  <c r="E17" i="9"/>
  <c r="D17" i="9"/>
  <c r="K16" i="9"/>
  <c r="J16" i="9"/>
  <c r="I16" i="9"/>
  <c r="G16" i="9"/>
  <c r="F16" i="9"/>
  <c r="E16" i="9"/>
  <c r="D16" i="9"/>
  <c r="L13" i="9"/>
  <c r="L17" i="9" s="1"/>
  <c r="E30" i="9" s="1"/>
  <c r="H13" i="9"/>
  <c r="H17" i="9" s="1"/>
  <c r="L12" i="9"/>
  <c r="L16" i="9" s="1"/>
  <c r="H12" i="9"/>
  <c r="H16" i="9" s="1"/>
  <c r="B81" i="10" l="1"/>
  <c r="B83" i="10" s="1"/>
  <c r="L19" i="2"/>
  <c r="L77" i="9"/>
  <c r="N53" i="10"/>
  <c r="K29" i="11"/>
  <c r="K30" i="11" s="1"/>
  <c r="F42" i="10"/>
  <c r="E26" i="10"/>
  <c r="A26" i="10"/>
  <c r="D26" i="10"/>
  <c r="L80" i="9"/>
  <c r="L20" i="2"/>
  <c r="B105" i="9"/>
  <c r="C28" i="11"/>
  <c r="D25" i="9"/>
  <c r="L5" i="2"/>
  <c r="M5" i="2" s="1"/>
  <c r="P6" i="2" s="1"/>
  <c r="F81" i="10"/>
  <c r="B86" i="10" s="1"/>
  <c r="K73" i="9"/>
  <c r="L10" i="2"/>
  <c r="E62" i="9"/>
  <c r="K77" i="9"/>
  <c r="L11" i="2"/>
  <c r="B104" i="9"/>
  <c r="B106" i="9" s="1"/>
  <c r="B108" i="9" s="1"/>
  <c r="E26" i="9"/>
  <c r="K80" i="9"/>
  <c r="L12" i="2"/>
  <c r="L73" i="9"/>
  <c r="L18" i="2"/>
  <c r="D40" i="10"/>
  <c r="F40" i="10" s="1"/>
  <c r="D79" i="10"/>
  <c r="D81" i="10" s="1"/>
  <c r="B110" i="9"/>
  <c r="E59" i="9"/>
  <c r="D56" i="9"/>
  <c r="F56" i="9" s="1"/>
  <c r="D59" i="9"/>
  <c r="E28" i="9"/>
  <c r="D104" i="9"/>
  <c r="D29" i="9"/>
  <c r="F104" i="9"/>
  <c r="D62" i="9"/>
  <c r="D105" i="9"/>
  <c r="D27" i="9"/>
  <c r="F105" i="9"/>
  <c r="F62" i="9" l="1"/>
  <c r="D106" i="9"/>
  <c r="E33" i="9"/>
  <c r="D33" i="9"/>
  <c r="A33" i="9"/>
  <c r="H81" i="10"/>
  <c r="C30" i="11"/>
  <c r="F44" i="10"/>
  <c r="F106" i="9"/>
  <c r="B111" i="9" s="1"/>
  <c r="B84" i="10"/>
  <c r="B89" i="10" s="1"/>
  <c r="K24" i="2" s="1"/>
  <c r="F59" i="9"/>
  <c r="F67" i="9" s="1"/>
  <c r="F69" i="9" s="1"/>
  <c r="B109" i="9"/>
  <c r="F83" i="9" l="1"/>
  <c r="F82" i="9"/>
  <c r="F74" i="9"/>
  <c r="F81" i="9"/>
  <c r="F80" i="9"/>
  <c r="F79" i="9"/>
  <c r="F78" i="9"/>
  <c r="F77" i="9"/>
  <c r="F76" i="9"/>
  <c r="F75" i="9"/>
  <c r="F46" i="10"/>
  <c r="G88" i="10" s="1"/>
  <c r="G89" i="10" s="1"/>
  <c r="F85" i="9" l="1"/>
  <c r="F84" i="9" s="1"/>
  <c r="D36" i="9"/>
  <c r="A36" i="9"/>
  <c r="E37" i="9"/>
  <c r="A37" i="9"/>
  <c r="F71" i="9"/>
  <c r="F48" i="10"/>
  <c r="E95" i="8"/>
  <c r="E94" i="8"/>
  <c r="K85" i="8"/>
  <c r="E52" i="8"/>
  <c r="E48" i="8"/>
  <c r="D48" i="8"/>
  <c r="E32" i="8"/>
  <c r="D31" i="8"/>
  <c r="M17" i="8"/>
  <c r="G100" i="8" s="1"/>
  <c r="K17" i="8"/>
  <c r="J17" i="8"/>
  <c r="I17" i="8"/>
  <c r="G17" i="8"/>
  <c r="F17" i="8"/>
  <c r="E17" i="8"/>
  <c r="D17" i="8"/>
  <c r="K16" i="8"/>
  <c r="J16" i="8"/>
  <c r="I16" i="8"/>
  <c r="G16" i="8"/>
  <c r="F16" i="8"/>
  <c r="E16" i="8"/>
  <c r="D16" i="8"/>
  <c r="B94" i="8" s="1"/>
  <c r="L13" i="8"/>
  <c r="L17" i="8" s="1"/>
  <c r="H13" i="8"/>
  <c r="H17" i="8" s="1"/>
  <c r="D95" i="8" s="1"/>
  <c r="L12" i="8"/>
  <c r="L16" i="8" s="1"/>
  <c r="H12" i="8"/>
  <c r="E55" i="8" s="1"/>
  <c r="H14" i="2"/>
  <c r="Q66" i="9" l="1"/>
  <c r="P66" i="9"/>
  <c r="AH65" i="12"/>
  <c r="L94" i="9" s="1"/>
  <c r="J19" i="2"/>
  <c r="L74" i="8"/>
  <c r="K77" i="8"/>
  <c r="J12" i="2"/>
  <c r="L77" i="8"/>
  <c r="J20" i="2"/>
  <c r="E96" i="8"/>
  <c r="B100" i="8" s="1"/>
  <c r="L70" i="8"/>
  <c r="J18" i="2"/>
  <c r="E26" i="8"/>
  <c r="J7" i="2"/>
  <c r="K70" i="8"/>
  <c r="J10" i="2"/>
  <c r="K74" i="8"/>
  <c r="J11" i="2"/>
  <c r="B95" i="8"/>
  <c r="D29" i="8"/>
  <c r="D58" i="8"/>
  <c r="F94" i="8"/>
  <c r="E30" i="8"/>
  <c r="F95" i="8"/>
  <c r="D25" i="8"/>
  <c r="D52" i="8"/>
  <c r="F52" i="8" s="1"/>
  <c r="D27" i="8"/>
  <c r="E58" i="8"/>
  <c r="H16" i="8"/>
  <c r="AH67" i="12" l="1"/>
  <c r="L96" i="9" s="1"/>
  <c r="AH68" i="12"/>
  <c r="L97" i="9" s="1"/>
  <c r="R64" i="9"/>
  <c r="AH69" i="12"/>
  <c r="L98" i="9" s="1"/>
  <c r="R66" i="9"/>
  <c r="R57" i="9"/>
  <c r="AH66" i="12"/>
  <c r="L95" i="9" s="1"/>
  <c r="R62" i="9"/>
  <c r="R59" i="9"/>
  <c r="R61" i="9"/>
  <c r="R58" i="9"/>
  <c r="R63" i="9"/>
  <c r="R60" i="9"/>
  <c r="R56" i="9"/>
  <c r="R55" i="9"/>
  <c r="G115" i="9" s="1"/>
  <c r="F58" i="8"/>
  <c r="F96" i="8"/>
  <c r="B101" i="8" s="1"/>
  <c r="B96" i="8"/>
  <c r="B98" i="8" s="1"/>
  <c r="D94" i="8"/>
  <c r="D55" i="8"/>
  <c r="F55" i="8" s="1"/>
  <c r="E28" i="8"/>
  <c r="E33" i="8" s="1"/>
  <c r="F61" i="8" l="1"/>
  <c r="F66" i="8" s="1"/>
  <c r="F84" i="8" s="1"/>
  <c r="G105" i="9"/>
  <c r="G106" i="9" s="1"/>
  <c r="L15" i="2"/>
  <c r="AI57" i="12"/>
  <c r="L22" i="2"/>
  <c r="AH57" i="12"/>
  <c r="L90" i="9"/>
  <c r="E40" i="9"/>
  <c r="D40" i="9"/>
  <c r="A40" i="9"/>
  <c r="D33" i="8"/>
  <c r="A33" i="8"/>
  <c r="D96" i="8"/>
  <c r="AH70" i="12" l="1"/>
  <c r="L99" i="9" s="1"/>
  <c r="L100" i="9" s="1"/>
  <c r="F80" i="8"/>
  <c r="F72" i="8"/>
  <c r="F79" i="8"/>
  <c r="F71" i="8"/>
  <c r="F76" i="8"/>
  <c r="F82" i="8"/>
  <c r="F81" i="8"/>
  <c r="F78" i="8"/>
  <c r="F77" i="8"/>
  <c r="F75" i="8"/>
  <c r="F74" i="8"/>
  <c r="F73" i="8"/>
  <c r="I106" i="9"/>
  <c r="B112" i="9"/>
  <c r="B115" i="9" s="1"/>
  <c r="K90" i="9"/>
  <c r="E37" i="8"/>
  <c r="A37" i="8"/>
  <c r="A36" i="8"/>
  <c r="D36" i="8"/>
  <c r="F68" i="8"/>
  <c r="B99" i="8"/>
  <c r="E92" i="1"/>
  <c r="L24" i="2" l="1"/>
  <c r="F117" i="9"/>
  <c r="AH71" i="12"/>
  <c r="F83" i="8"/>
  <c r="R59" i="8"/>
  <c r="R62" i="8"/>
  <c r="R57" i="8"/>
  <c r="R60" i="8"/>
  <c r="R51" i="8"/>
  <c r="Q64" i="8"/>
  <c r="P64" i="8"/>
  <c r="R58" i="8"/>
  <c r="R54" i="8"/>
  <c r="Z67" i="12"/>
  <c r="M93" i="8" s="1"/>
  <c r="R55" i="8"/>
  <c r="Z68" i="12"/>
  <c r="M94" i="8" s="1"/>
  <c r="R52" i="8"/>
  <c r="R61" i="8"/>
  <c r="R56" i="8"/>
  <c r="R53" i="8"/>
  <c r="Z66" i="12"/>
  <c r="M92" i="8" s="1"/>
  <c r="L68" i="7"/>
  <c r="E74" i="7"/>
  <c r="E73" i="7"/>
  <c r="E43" i="7"/>
  <c r="E41" i="7"/>
  <c r="D41" i="7"/>
  <c r="E30" i="7"/>
  <c r="D29" i="7"/>
  <c r="M17" i="7"/>
  <c r="G79" i="7" s="1"/>
  <c r="K17" i="7"/>
  <c r="J17" i="7"/>
  <c r="I17" i="7"/>
  <c r="G17" i="7"/>
  <c r="F17" i="7"/>
  <c r="E17" i="7"/>
  <c r="D17" i="7"/>
  <c r="K16" i="7"/>
  <c r="J16" i="7"/>
  <c r="I16" i="7"/>
  <c r="G16" i="7"/>
  <c r="F16" i="7"/>
  <c r="E16" i="7"/>
  <c r="D16" i="7"/>
  <c r="B73" i="7" s="1"/>
  <c r="L13" i="7"/>
  <c r="L17" i="7" s="1"/>
  <c r="E27" i="7" s="1"/>
  <c r="H13" i="7"/>
  <c r="H17" i="7" s="1"/>
  <c r="L12" i="7"/>
  <c r="E47" i="7" s="1"/>
  <c r="H12" i="7"/>
  <c r="E45" i="7" s="1"/>
  <c r="E91" i="1"/>
  <c r="E93" i="1" s="1"/>
  <c r="E37" i="6"/>
  <c r="D37" i="6"/>
  <c r="C37" i="6"/>
  <c r="E34" i="6"/>
  <c r="D34" i="6"/>
  <c r="C34" i="6"/>
  <c r="E31" i="6"/>
  <c r="D31" i="6"/>
  <c r="C31" i="6"/>
  <c r="E28" i="6"/>
  <c r="D28" i="6"/>
  <c r="C28" i="6"/>
  <c r="E25" i="6"/>
  <c r="D25" i="6"/>
  <c r="C25" i="6"/>
  <c r="E22" i="6"/>
  <c r="D22" i="6"/>
  <c r="C22" i="6"/>
  <c r="E19" i="6"/>
  <c r="D19" i="6"/>
  <c r="C19" i="6"/>
  <c r="E16" i="6"/>
  <c r="D16" i="6"/>
  <c r="C16" i="6"/>
  <c r="R65" i="8" l="1"/>
  <c r="G95" i="8" s="1"/>
  <c r="AA57" i="12"/>
  <c r="Z69" i="12"/>
  <c r="M95" i="8" s="1"/>
  <c r="Z65" i="12"/>
  <c r="M91" i="8" s="1"/>
  <c r="R64" i="8"/>
  <c r="G101" i="8"/>
  <c r="G104" i="8" s="1"/>
  <c r="E26" i="7"/>
  <c r="H7" i="2"/>
  <c r="K46" i="7"/>
  <c r="H11" i="2"/>
  <c r="K48" i="7"/>
  <c r="H12" i="2"/>
  <c r="L42" i="7"/>
  <c r="L57" i="7" s="1"/>
  <c r="H18" i="2"/>
  <c r="K42" i="7"/>
  <c r="H10" i="2"/>
  <c r="L46" i="7"/>
  <c r="H19" i="2"/>
  <c r="E75" i="7"/>
  <c r="B79" i="7" s="1"/>
  <c r="L48" i="7"/>
  <c r="H20" i="2"/>
  <c r="B74" i="7"/>
  <c r="B75" i="7" s="1"/>
  <c r="L16" i="7"/>
  <c r="B81" i="7"/>
  <c r="D74" i="7"/>
  <c r="F74" i="7"/>
  <c r="D25" i="7"/>
  <c r="D43" i="7"/>
  <c r="F43" i="7" s="1"/>
  <c r="H16" i="7"/>
  <c r="B97" i="1"/>
  <c r="Z57" i="12" l="1"/>
  <c r="Z70" i="12"/>
  <c r="N46" i="7"/>
  <c r="D31" i="7"/>
  <c r="A31" i="7"/>
  <c r="E31" i="7"/>
  <c r="E40" i="8"/>
  <c r="D40" i="8"/>
  <c r="A40" i="8"/>
  <c r="B77" i="7"/>
  <c r="H15" i="2"/>
  <c r="K57" i="7"/>
  <c r="H22" i="2"/>
  <c r="D47" i="7"/>
  <c r="F47" i="7" s="1"/>
  <c r="F73" i="7"/>
  <c r="F75" i="7" s="1"/>
  <c r="B80" i="7" s="1"/>
  <c r="D73" i="7"/>
  <c r="D45" i="7"/>
  <c r="F45" i="7" s="1"/>
  <c r="M96" i="8" l="1"/>
  <c r="Z71" i="12"/>
  <c r="J22" i="2"/>
  <c r="J15" i="2"/>
  <c r="F49" i="7"/>
  <c r="F51" i="7" s="1"/>
  <c r="G80" i="7" s="1"/>
  <c r="G83" i="7" s="1"/>
  <c r="D75" i="7"/>
  <c r="H75" i="7" s="1"/>
  <c r="F53" i="7" l="1"/>
  <c r="G96" i="8"/>
  <c r="L87" i="8"/>
  <c r="B78" i="7"/>
  <c r="B83" i="7" s="1"/>
  <c r="K82" i="1"/>
  <c r="H24" i="2" l="1"/>
  <c r="F85" i="7"/>
  <c r="M97" i="8"/>
  <c r="K87" i="8"/>
  <c r="H96" i="8"/>
  <c r="B102" i="8"/>
  <c r="B104" i="8" s="1"/>
  <c r="I14" i="2"/>
  <c r="M14" i="2" s="1"/>
  <c r="J24" i="2" l="1"/>
  <c r="F106" i="8"/>
  <c r="H12" i="1"/>
  <c r="E52" i="1" s="1"/>
  <c r="E50" i="1" l="1"/>
  <c r="L13" i="1"/>
  <c r="H13" i="1"/>
  <c r="D17" i="1" l="1"/>
  <c r="B92" i="1" s="1"/>
  <c r="E32" i="1"/>
  <c r="D31" i="1"/>
  <c r="E26" i="1" l="1"/>
  <c r="I7" i="2"/>
  <c r="M7" i="2" s="1"/>
  <c r="P5" i="2" s="1"/>
  <c r="K16" i="1"/>
  <c r="J16" i="1"/>
  <c r="I16" i="1"/>
  <c r="H16" i="1"/>
  <c r="D91" i="1" s="1"/>
  <c r="G16" i="1"/>
  <c r="F16" i="1"/>
  <c r="E16" i="1"/>
  <c r="D16" i="1"/>
  <c r="B91" i="1" s="1"/>
  <c r="B93" i="1" s="1"/>
  <c r="M17" i="1"/>
  <c r="G97" i="1" s="1"/>
  <c r="L17" i="1"/>
  <c r="K17" i="1"/>
  <c r="J17" i="1"/>
  <c r="I17" i="1"/>
  <c r="H17" i="1"/>
  <c r="G17" i="1"/>
  <c r="F17" i="1"/>
  <c r="E17" i="1"/>
  <c r="L12" i="1"/>
  <c r="I19" i="2" l="1"/>
  <c r="M19" i="2" s="1"/>
  <c r="L69" i="1"/>
  <c r="I20" i="2"/>
  <c r="M20" i="2" s="1"/>
  <c r="L74" i="1"/>
  <c r="I18" i="2"/>
  <c r="M18" i="2" s="1"/>
  <c r="L65" i="1"/>
  <c r="E30" i="1"/>
  <c r="F92" i="1"/>
  <c r="I12" i="2"/>
  <c r="M12" i="2" s="1"/>
  <c r="K74" i="1"/>
  <c r="I10" i="2"/>
  <c r="M10" i="2" s="1"/>
  <c r="K65" i="1"/>
  <c r="I11" i="2"/>
  <c r="M11" i="2" s="1"/>
  <c r="K69" i="1"/>
  <c r="D27" i="1"/>
  <c r="D92" i="1"/>
  <c r="D93" i="1" s="1"/>
  <c r="B95" i="1"/>
  <c r="E28" i="1"/>
  <c r="D52" i="1"/>
  <c r="F52" i="1" s="1"/>
  <c r="L16" i="1"/>
  <c r="F91" i="1" s="1"/>
  <c r="E54" i="1"/>
  <c r="D25" i="1"/>
  <c r="D50" i="1"/>
  <c r="F50" i="1" s="1"/>
  <c r="E48" i="1"/>
  <c r="D48" i="1"/>
  <c r="F93" i="1" l="1"/>
  <c r="B98" i="1" s="1"/>
  <c r="B96" i="1"/>
  <c r="D29" i="1"/>
  <c r="D33" i="1" s="1"/>
  <c r="D54" i="1"/>
  <c r="F54" i="1" s="1"/>
  <c r="F56" i="1" s="1"/>
  <c r="F61" i="1" s="1"/>
  <c r="F71" i="1" l="1"/>
  <c r="F68" i="1"/>
  <c r="F66" i="1"/>
  <c r="F70" i="1"/>
  <c r="F69" i="1"/>
  <c r="F67" i="1"/>
  <c r="F72" i="1"/>
  <c r="E33" i="1"/>
  <c r="A33" i="1"/>
  <c r="E37" i="1"/>
  <c r="A36" i="1"/>
  <c r="D36" i="1"/>
  <c r="A37" i="1"/>
  <c r="F74" i="1"/>
  <c r="F63" i="1"/>
  <c r="F73" i="1" l="1"/>
  <c r="V65" i="12" l="1"/>
  <c r="M88" i="1" s="1"/>
  <c r="R55" i="1"/>
  <c r="V68" i="12"/>
  <c r="M91" i="1" s="1"/>
  <c r="R53" i="1"/>
  <c r="V66" i="12"/>
  <c r="M89" i="1" s="1"/>
  <c r="R56" i="1"/>
  <c r="V69" i="12"/>
  <c r="M92" i="1" s="1"/>
  <c r="R54" i="1"/>
  <c r="V67" i="12"/>
  <c r="M90" i="1" s="1"/>
  <c r="Q59" i="1"/>
  <c r="R51" i="1"/>
  <c r="R52" i="1"/>
  <c r="G98" i="1" s="1"/>
  <c r="R57" i="1"/>
  <c r="E40" i="1"/>
  <c r="A40" i="1"/>
  <c r="D40" i="1"/>
  <c r="R60" i="1" l="1"/>
  <c r="G101" i="1"/>
  <c r="V57" i="12"/>
  <c r="R59" i="1"/>
  <c r="G92" i="1" l="1"/>
  <c r="G93" i="1" s="1"/>
  <c r="B99" i="1" s="1"/>
  <c r="B101" i="1" s="1"/>
  <c r="M21" i="2"/>
  <c r="I15" i="2"/>
  <c r="M15" i="2" s="1"/>
  <c r="P7" i="2" s="1"/>
  <c r="L84" i="1"/>
  <c r="I24" i="2" l="1"/>
  <c r="M24" i="2" s="1"/>
  <c r="P9" i="2" s="1"/>
  <c r="F103" i="1"/>
  <c r="M13" i="2"/>
  <c r="I22" i="2"/>
  <c r="M22" i="2" s="1"/>
  <c r="P8" i="2" s="1"/>
  <c r="H93" i="1"/>
  <c r="K84" i="1"/>
  <c r="V70" i="12"/>
  <c r="M93" i="1" l="1"/>
  <c r="M94" i="1" s="1"/>
  <c r="V71" i="12"/>
</calcChain>
</file>

<file path=xl/sharedStrings.xml><?xml version="1.0" encoding="utf-8"?>
<sst xmlns="http://schemas.openxmlformats.org/spreadsheetml/2006/main" count="950" uniqueCount="336">
  <si>
    <t>Differences Between Expected and Actual Experience</t>
  </si>
  <si>
    <t>Net Difference Between Projected and Actual investment Earnings on Pension Plan Investments</t>
  </si>
  <si>
    <t>Changes of Assumptions</t>
  </si>
  <si>
    <t>Plan Pension Expense</t>
  </si>
  <si>
    <t>DR</t>
  </si>
  <si>
    <t>CR</t>
  </si>
  <si>
    <t>PERS 2/3 - Change in proportionate share</t>
  </si>
  <si>
    <r>
      <t xml:space="preserve">Net Pension Liability </t>
    </r>
    <r>
      <rPr>
        <sz val="11"/>
        <color rgb="FFFF0000"/>
        <rFont val="Calibri"/>
        <family val="2"/>
        <scheme val="minor"/>
      </rPr>
      <t>(credit balance)</t>
    </r>
  </si>
  <si>
    <t>Deferred Outflows (debit balance)</t>
  </si>
  <si>
    <r>
      <t xml:space="preserve">Deferred Inflows </t>
    </r>
    <r>
      <rPr>
        <sz val="11"/>
        <color rgb="FFFF0000"/>
        <rFont val="Calibri"/>
        <family val="2"/>
        <scheme val="minor"/>
      </rPr>
      <t>(credit balance)</t>
    </r>
  </si>
  <si>
    <t>Totals of changes in beginning reported balances:</t>
  </si>
  <si>
    <t xml:space="preserve">Amount to be recognized for the net effect of the change in proportion on beginning reported balances:  DR = Deferred Outflow; CR = Deferred Inflow </t>
  </si>
  <si>
    <t>Totals (must balance)</t>
  </si>
  <si>
    <t>Deferred Inflows of Resources (CR)</t>
  </si>
  <si>
    <r>
      <t xml:space="preserve">Total Deferred Outflows </t>
    </r>
    <r>
      <rPr>
        <b/>
        <i/>
        <sz val="11"/>
        <color theme="1"/>
        <rFont val="Calibri"/>
        <family val="2"/>
        <scheme val="minor"/>
      </rPr>
      <t>(Excluding Employer Specific Amounts)</t>
    </r>
  </si>
  <si>
    <r>
      <t xml:space="preserve">Total Deferred Inflows of </t>
    </r>
    <r>
      <rPr>
        <b/>
        <i/>
        <sz val="11"/>
        <color theme="1"/>
        <rFont val="Calibri"/>
        <family val="2"/>
        <scheme val="minor"/>
      </rPr>
      <t>(Excluding Employer Specific Amounts)</t>
    </r>
  </si>
  <si>
    <r>
      <t xml:space="preserve">Schedule of Collective Pension Amounts </t>
    </r>
    <r>
      <rPr>
        <sz val="11"/>
        <color rgb="FFFF0000"/>
        <rFont val="Calibri"/>
        <family val="2"/>
        <scheme val="minor"/>
      </rPr>
      <t>(from DRS PEFI)</t>
    </r>
    <r>
      <rPr>
        <sz val="11"/>
        <color theme="1"/>
        <rFont val="Calibri"/>
        <family val="2"/>
        <scheme val="minor"/>
      </rPr>
      <t xml:space="preserve"> - </t>
    </r>
    <r>
      <rPr>
        <b/>
        <sz val="11"/>
        <color theme="1"/>
        <rFont val="Calibri"/>
        <family val="2"/>
        <scheme val="minor"/>
      </rPr>
      <t>PERS 2/3</t>
    </r>
  </si>
  <si>
    <t>Adj. to Pension Expense</t>
  </si>
  <si>
    <t>Deferred Outflows</t>
  </si>
  <si>
    <t>PERS 1</t>
  </si>
  <si>
    <t>NPL</t>
  </si>
  <si>
    <t>collective DO</t>
  </si>
  <si>
    <t>collective DI</t>
  </si>
  <si>
    <t>exp adj.</t>
  </si>
  <si>
    <t>change in proportionate share</t>
  </si>
  <si>
    <t>expected pension expense</t>
  </si>
  <si>
    <t>PERS 2/3 - Reconcile change in NPL to pension expense:</t>
  </si>
  <si>
    <t>contributions</t>
  </si>
  <si>
    <t>change</t>
  </si>
  <si>
    <t>actual employer contributions</t>
  </si>
  <si>
    <t>employer specific amortization</t>
  </si>
  <si>
    <t xml:space="preserve">   Differences between expected and actual experience</t>
  </si>
  <si>
    <t xml:space="preserve">   Net difference between projected and actual investment earnings</t>
  </si>
  <si>
    <t xml:space="preserve">   Changes of assumptions</t>
  </si>
  <si>
    <t>PERS 2/3</t>
  </si>
  <si>
    <t>PSERS</t>
  </si>
  <si>
    <t>LEOFF 1</t>
  </si>
  <si>
    <t>LEOFF 2</t>
  </si>
  <si>
    <t>TOTAL PLANS</t>
  </si>
  <si>
    <t>Ending Net Pension Asset (DR)</t>
  </si>
  <si>
    <t>Ending Net Pension Liability (CR)</t>
  </si>
  <si>
    <t xml:space="preserve">     Total Deferred Outflows (DR)</t>
  </si>
  <si>
    <t xml:space="preserve">     Total Deferred Inflows (CR)</t>
  </si>
  <si>
    <t xml:space="preserve">   Changes in proportionate share</t>
  </si>
  <si>
    <t xml:space="preserve">   Contributions subsequent to the measurement date</t>
  </si>
  <si>
    <t>Total pension expense</t>
  </si>
  <si>
    <t>Yearly</t>
  </si>
  <si>
    <t>Amortization</t>
  </si>
  <si>
    <t>PSERS 2</t>
  </si>
  <si>
    <t>PERS 2/3 - Amortization of change in proportionate share</t>
  </si>
  <si>
    <t>DO - $227,190</t>
  </si>
  <si>
    <t>DO - $578,667</t>
  </si>
  <si>
    <t>4.4 years</t>
  </si>
  <si>
    <t>4.2 years</t>
  </si>
  <si>
    <t>Differences between expected and actual experience</t>
  </si>
  <si>
    <t>Step 3 - Amortize current and prior years' changes in proportionate share - from table below</t>
  </si>
  <si>
    <t>of Resources</t>
  </si>
  <si>
    <t>Deferred Inflows</t>
  </si>
  <si>
    <t>For table of deferred outflows and inflows in the notes:</t>
  </si>
  <si>
    <t>Net difference between projected and actual investment earnings on pension plan investments</t>
  </si>
  <si>
    <t>Changes of assumptions</t>
  </si>
  <si>
    <t>Changes in proportion and differences between contributions and proportionate share of contributions</t>
  </si>
  <si>
    <t>Contributions subsequent to the measurement date</t>
  </si>
  <si>
    <t>TOTAL</t>
  </si>
  <si>
    <t>Step 2 - Calculate current year change in proportionate share - from table below</t>
  </si>
  <si>
    <t>Step 1 - Collective pension amounts (from above) - reverse prior year amounts and record current year amounts:</t>
  </si>
  <si>
    <t>Inflows</t>
  </si>
  <si>
    <t>Outflows</t>
  </si>
  <si>
    <t>Year ended</t>
  </si>
  <si>
    <t>December 31</t>
  </si>
  <si>
    <t>Employer's changes in proportionate share (from amortization tables on each plan spreadsheet):</t>
  </si>
  <si>
    <t>Sensitivity Analysis - for note disclosure</t>
  </si>
  <si>
    <t>amounts for your individual employer note disclosures, enter your allocation</t>
  </si>
  <si>
    <t>percentages for each plan in the appropriate box in the far left column.</t>
  </si>
  <si>
    <t>Your</t>
  </si>
  <si>
    <t>Allocation %</t>
  </si>
  <si>
    <t>1% Decrease</t>
  </si>
  <si>
    <t>Current Rate</t>
  </si>
  <si>
    <t>1% Increase</t>
  </si>
  <si>
    <t>Here</t>
  </si>
  <si>
    <t>SERS 2/3</t>
  </si>
  <si>
    <t>TRS 1</t>
  </si>
  <si>
    <t>TRS 2/3</t>
  </si>
  <si>
    <t>Source - collective net pension liability amounts from Note 4.C of DRS</t>
  </si>
  <si>
    <t>tab to create</t>
  </si>
  <si>
    <t>amortization table</t>
  </si>
  <si>
    <t>Subsequent</t>
  </si>
  <si>
    <t>Contrib. DO</t>
  </si>
  <si>
    <t>employer</t>
  </si>
  <si>
    <t>specific DO/DI</t>
  </si>
  <si>
    <r>
      <t xml:space="preserve">Schedule of Collective Pension Amounts </t>
    </r>
    <r>
      <rPr>
        <sz val="11"/>
        <color rgb="FFFF0000"/>
        <rFont val="Calibri"/>
        <family val="2"/>
        <scheme val="minor"/>
      </rPr>
      <t>(from DRS PEFI)</t>
    </r>
    <r>
      <rPr>
        <sz val="11"/>
        <color theme="1"/>
        <rFont val="Calibri"/>
        <family val="2"/>
        <scheme val="minor"/>
      </rPr>
      <t xml:space="preserve"> - </t>
    </r>
    <r>
      <rPr>
        <b/>
        <sz val="11"/>
        <color theme="1"/>
        <rFont val="Calibri"/>
        <family val="2"/>
        <scheme val="minor"/>
      </rPr>
      <t>PERS 1</t>
    </r>
  </si>
  <si>
    <t>pension expense</t>
  </si>
  <si>
    <t>PERS 1 - Change in proportionate share</t>
  </si>
  <si>
    <t>Since the recognition period of the plan is only 1 year as of the beginning of the year,</t>
  </si>
  <si>
    <t>there is no need to record and amortize changes in the employers' proportionate share.</t>
  </si>
  <si>
    <t>These changes are already accounted for in the change in the net pension liability.  The</t>
  </si>
  <si>
    <t>table below will identify the amount of that change, which is needed to reconcile pension expense.</t>
  </si>
  <si>
    <t>Amount recognized in pension expense for the net effect of the change in proportion.</t>
  </si>
  <si>
    <t>DO - $1,604</t>
  </si>
  <si>
    <t>DO - $403</t>
  </si>
  <si>
    <t>Ending Deferred Outflows:</t>
  </si>
  <si>
    <t>Ending Deferred Inflows:</t>
  </si>
  <si>
    <t>PSERS - Reconcile change in NPL to pension expense:</t>
  </si>
  <si>
    <t>Net Pension (Liability)</t>
  </si>
  <si>
    <r>
      <t xml:space="preserve">Net Pension    </t>
    </r>
    <r>
      <rPr>
        <b/>
        <sz val="11"/>
        <color theme="1"/>
        <rFont val="Calibri"/>
        <family val="2"/>
        <scheme val="minor"/>
      </rPr>
      <t>Asset</t>
    </r>
  </si>
  <si>
    <r>
      <t>Net Pension Asset</t>
    </r>
    <r>
      <rPr>
        <sz val="11"/>
        <rFont val="Calibri"/>
        <family val="2"/>
        <scheme val="minor"/>
      </rPr>
      <t xml:space="preserve"> (debit balance)</t>
    </r>
  </si>
  <si>
    <t>6 years</t>
  </si>
  <si>
    <t>PSERS - Change in proportionate share</t>
  </si>
  <si>
    <t>PSERS - Amortization of change in proportionate share</t>
  </si>
  <si>
    <t>LEOFF 2 - Change in proportionate share</t>
  </si>
  <si>
    <t>LEOFF 2 - Amortization of change in proportionate share</t>
  </si>
  <si>
    <t>6.2 years</t>
  </si>
  <si>
    <t>NPA</t>
  </si>
  <si>
    <r>
      <t xml:space="preserve">Schedule of Collective Pension Amounts </t>
    </r>
    <r>
      <rPr>
        <sz val="11"/>
        <color rgb="FFFF0000"/>
        <rFont val="Calibri"/>
        <family val="2"/>
        <scheme val="minor"/>
      </rPr>
      <t>(from DRS PEFI)</t>
    </r>
    <r>
      <rPr>
        <sz val="11"/>
        <color theme="1"/>
        <rFont val="Calibri"/>
        <family val="2"/>
        <scheme val="minor"/>
      </rPr>
      <t xml:space="preserve"> - </t>
    </r>
    <r>
      <rPr>
        <b/>
        <sz val="11"/>
        <color theme="1"/>
        <rFont val="Calibri"/>
        <family val="2"/>
        <scheme val="minor"/>
      </rPr>
      <t>LEOFF 2</t>
    </r>
  </si>
  <si>
    <r>
      <t xml:space="preserve">Schedule of Collective Pension Amounts </t>
    </r>
    <r>
      <rPr>
        <sz val="11"/>
        <color rgb="FFFF0000"/>
        <rFont val="Calibri"/>
        <family val="2"/>
        <scheme val="minor"/>
      </rPr>
      <t>(from DRS PEFI)</t>
    </r>
    <r>
      <rPr>
        <sz val="11"/>
        <color theme="1"/>
        <rFont val="Calibri"/>
        <family val="2"/>
        <scheme val="minor"/>
      </rPr>
      <t xml:space="preserve"> - </t>
    </r>
    <r>
      <rPr>
        <b/>
        <sz val="11"/>
        <color theme="1"/>
        <rFont val="Calibri"/>
        <family val="2"/>
        <scheme val="minor"/>
      </rPr>
      <t>PSERS 2</t>
    </r>
  </si>
  <si>
    <t>LEOFF 1 - Change in proportionate share</t>
  </si>
  <si>
    <t>LEOFF 1 - Reconcile change in NPL to pension expense:</t>
  </si>
  <si>
    <t>PERS 1 - Reconcile change in NPL to pension expense:</t>
  </si>
  <si>
    <r>
      <t xml:space="preserve">Net Pension   </t>
    </r>
    <r>
      <rPr>
        <b/>
        <sz val="11"/>
        <color theme="1"/>
        <rFont val="Calibri"/>
        <family val="2"/>
        <scheme val="minor"/>
      </rPr>
      <t>Asset</t>
    </r>
  </si>
  <si>
    <t>Net Pension Asset (debit balance)</t>
  </si>
  <si>
    <t>no employer specific DO/DI</t>
  </si>
  <si>
    <t>no actual employer contributions</t>
  </si>
  <si>
    <t>LEOFF 2 - employer's proportionate share</t>
  </si>
  <si>
    <t>LEOFF 2 - Special Funding Situation</t>
  </si>
  <si>
    <t>For note disclosure:</t>
  </si>
  <si>
    <t>from LEOFF 2 spreadsheet</t>
  </si>
  <si>
    <t>calculated using formula</t>
  </si>
  <si>
    <t>Formula based on above:</t>
  </si>
  <si>
    <t xml:space="preserve">   Intergovernmental Revenues (BARS 3350301)</t>
  </si>
  <si>
    <t>To recognize pension expense for your individual employer share of the State's contributions:</t>
  </si>
  <si>
    <t>Employer's LEOFF 2 contributions</t>
  </si>
  <si>
    <t>DR - Pension Expense</t>
  </si>
  <si>
    <t xml:space="preserve">   CR - Intergovernmental Revenues (BARS 3350301)</t>
  </si>
  <si>
    <t>Step 4 - Record LEOFF 2 special funding amount (see SpecFndg) tab</t>
  </si>
  <si>
    <t>special funding</t>
  </si>
  <si>
    <t>LEOFF 2 special funding contributions</t>
  </si>
  <si>
    <t>LEOFF 2 special funding amount</t>
  </si>
  <si>
    <t>Thereafter</t>
  </si>
  <si>
    <t>below for the notes.</t>
  </si>
  <si>
    <t>Amortization table for notes:</t>
  </si>
  <si>
    <t>Important - calculations below are not applicable to port districts and institutions of higher education</t>
  </si>
  <si>
    <t>because their contribution rates already include the state contribution.  See RCW 41.26.450.</t>
  </si>
  <si>
    <t>VFFRPF</t>
  </si>
  <si>
    <t>Volunteer Firefighters' and Reserve Officers' Relief and Pension Fund (VFFRPF):</t>
  </si>
  <si>
    <t>Note that this plan has a different discount rate.</t>
  </si>
  <si>
    <t>Individual employer percentages are available from the State Board</t>
  </si>
  <si>
    <r>
      <t xml:space="preserve">website - </t>
    </r>
    <r>
      <rPr>
        <b/>
        <sz val="11"/>
        <color theme="1"/>
        <rFont val="Calibri"/>
        <family val="2"/>
        <scheme val="minor"/>
      </rPr>
      <t>bvff.wa.gov</t>
    </r>
  </si>
  <si>
    <t>Calculate your individual employer amounts:</t>
  </si>
  <si>
    <t>Collective amounts from the DRS PEFI:</t>
  </si>
  <si>
    <t>LEOFF 1 - Special Funding Situation</t>
  </si>
  <si>
    <t>LEOFF 2 Asset</t>
  </si>
  <si>
    <t>LEOFF 1 Asset</t>
  </si>
  <si>
    <t>from LEOFF 1 spreadsheet</t>
  </si>
  <si>
    <t>LEOFF 2 - State's proportionate share of the net pension asset associated with the employer</t>
  </si>
  <si>
    <t>LEOFF 1 - employer's proportionate share</t>
  </si>
  <si>
    <t>LEOFF 1 - State's proportionate share of the net pension asset associated with the employer</t>
  </si>
  <si>
    <t>Differences Between Projected and Actual Earnings on Plan Investments</t>
  </si>
  <si>
    <r>
      <rPr>
        <b/>
        <sz val="8"/>
        <rFont val="Arial"/>
        <family val="2"/>
      </rPr>
      <t>Year</t>
    </r>
  </si>
  <si>
    <r>
      <rPr>
        <b/>
        <sz val="8"/>
        <rFont val="Arial"/>
        <family val="2"/>
      </rPr>
      <t>PERS 1</t>
    </r>
  </si>
  <si>
    <r>
      <rPr>
        <b/>
        <sz val="8"/>
        <rFont val="Arial"/>
        <family val="2"/>
      </rPr>
      <t>PERS 2/3</t>
    </r>
  </si>
  <si>
    <r>
      <rPr>
        <b/>
        <sz val="8"/>
        <rFont val="Arial"/>
        <family val="2"/>
      </rPr>
      <t>SERS 2/3</t>
    </r>
  </si>
  <si>
    <r>
      <rPr>
        <b/>
        <sz val="8"/>
        <rFont val="Arial"/>
        <family val="2"/>
      </rPr>
      <t>PSERS 2</t>
    </r>
  </si>
  <si>
    <r>
      <rPr>
        <b/>
        <sz val="8"/>
        <rFont val="Arial"/>
        <family val="2"/>
      </rPr>
      <t>TRS 1</t>
    </r>
  </si>
  <si>
    <r>
      <rPr>
        <b/>
        <sz val="8"/>
        <rFont val="Arial"/>
        <family val="2"/>
      </rPr>
      <t>TRS 2/3</t>
    </r>
  </si>
  <si>
    <r>
      <rPr>
        <b/>
        <sz val="8"/>
        <rFont val="Arial"/>
        <family val="2"/>
      </rPr>
      <t>LEOFF 1</t>
    </r>
  </si>
  <si>
    <r>
      <rPr>
        <b/>
        <sz val="8"/>
        <rFont val="Arial"/>
        <family val="2"/>
      </rPr>
      <t>LEOFF 2</t>
    </r>
  </si>
  <si>
    <t>Total Deferred (Inflows)/Outflows</t>
  </si>
  <si>
    <t>Start with the amortization tables from the PEFI.</t>
  </si>
  <si>
    <t>N/A</t>
  </si>
  <si>
    <t>|||</t>
  </si>
  <si>
    <t>Individual Employer Amortization</t>
  </si>
  <si>
    <t>Calculate individual employer's amortization for tables in the notes.</t>
  </si>
  <si>
    <r>
      <t xml:space="preserve">TOTALS </t>
    </r>
    <r>
      <rPr>
        <b/>
        <i/>
        <sz val="10"/>
        <rFont val="Times New Roman"/>
        <family val="1"/>
      </rPr>
      <t>(excluding contributions subsequent to the measurement date)</t>
    </r>
    <r>
      <rPr>
        <b/>
        <sz val="10"/>
        <rFont val="Times New Roman"/>
        <family val="1"/>
      </rPr>
      <t xml:space="preserve"> - For amortization tables in the notes:</t>
    </r>
  </si>
  <si>
    <r>
      <t>DR/</t>
    </r>
    <r>
      <rPr>
        <b/>
        <sz val="11"/>
        <color rgb="FFFF0000"/>
        <rFont val="Calibri"/>
        <family val="2"/>
        <scheme val="minor"/>
      </rPr>
      <t>(CR)</t>
    </r>
  </si>
  <si>
    <t>Must net to $0</t>
  </si>
  <si>
    <t>DR - Deferred outflows</t>
  </si>
  <si>
    <t xml:space="preserve">   CR - Pension expense</t>
  </si>
  <si>
    <t>If you calculate a credit:</t>
  </si>
  <si>
    <t>DR - Pension expense</t>
  </si>
  <si>
    <t xml:space="preserve">   CR - Deferred inflows</t>
  </si>
  <si>
    <t>Step 2 - If you calculate a debit:</t>
  </si>
  <si>
    <t>Step 3</t>
  </si>
  <si>
    <r>
      <t xml:space="preserve">DR </t>
    </r>
    <r>
      <rPr>
        <b/>
        <sz val="11"/>
        <color rgb="FFFF0000"/>
        <rFont val="Calibri"/>
        <family val="2"/>
        <scheme val="minor"/>
      </rPr>
      <t>(CR)</t>
    </r>
  </si>
  <si>
    <r>
      <rPr>
        <b/>
        <sz val="11"/>
        <color theme="1"/>
        <rFont val="Calibri"/>
        <family val="2"/>
        <scheme val="minor"/>
      </rPr>
      <t>676.397516%</t>
    </r>
    <r>
      <rPr>
        <sz val="11"/>
        <color theme="1"/>
        <rFont val="Calibri"/>
        <family val="2"/>
        <scheme val="minor"/>
      </rPr>
      <t xml:space="preserve"> X employer proportionate share = State's share associated with the employer</t>
    </r>
  </si>
  <si>
    <t>87.12% divided by 12.88% = 676.397516%</t>
  </si>
  <si>
    <t>3) - Your amortization schedules for the prior years' changes in proportionate share.</t>
  </si>
  <si>
    <t>The top section of each plan spreadsheet shows the collective pension amounts (in whole dollars) from the PEFI.  Note that debits are shown as positive amounts and (credits) as negative amounts.</t>
  </si>
  <si>
    <t>The collective amounts are multiplied by the employer's individual allocation percentage to calculate the employer's proportionate share of the pension liability or asset, deferred outflows, and deferred inflows.</t>
  </si>
  <si>
    <t>Allocation of pension amounts to funds and activities:</t>
  </si>
  <si>
    <t>The amounts in the examples are calculated for each plan as a whole.  For financial statement reporting, you must allocate the pension amounts among the relevant governmental and business-type activities and individual proprietary-type funds.  In the statement of activities, pension expense for governmental activities should be allocated by function.  SAO does not prescribe any particular allocation method.  However, the method should be based on the manner in which contributions to the plan are assessed.</t>
  </si>
  <si>
    <t>See the BARS manual for sample note disclosures and RSI schedules.</t>
  </si>
  <si>
    <t>Step 1 - Calculate and record your share of the current year collective pension amounts:</t>
  </si>
  <si>
    <t>4) - The amount of your employer contributions* for your fiscal year (12 months).</t>
  </si>
  <si>
    <t>*Contributions:</t>
  </si>
  <si>
    <t>Step 2 - Calculate your current year change in proportionate share:</t>
  </si>
  <si>
    <t>Step 3 - Amortize the current and prior years' changes in proportionate share:</t>
  </si>
  <si>
    <t>See "Amort"</t>
  </si>
  <si>
    <t>Each plan spreadsheet includes a sample table of deferred outflows and deferred inflows for reporting in the notes to the financial statements.  Present this table for each plan, and for all plans in total, which should trace to the financial statements.</t>
  </si>
  <si>
    <t>Each plan spreadsheet also includes an amortization table for the deferred outflows and inflows.  Note that the total for this amortization table must equal the total of all deferred outflows and inflows in the table above, excluding contributions subsequent to the measurement date.  Use the "Amort" tab to help calculate your individual employer amortization for each type of deferred outflow and deferred inflow.</t>
  </si>
  <si>
    <r>
      <t xml:space="preserve">Differences Between Expected and Actual Experience </t>
    </r>
    <r>
      <rPr>
        <b/>
        <i/>
        <sz val="10"/>
        <color rgb="FFFF0000"/>
        <rFont val="Times New Roman"/>
        <family val="1"/>
      </rPr>
      <t>(note that you can not net inflows and outflows together across years)</t>
    </r>
  </si>
  <si>
    <r>
      <t xml:space="preserve">Changes of Assumptions </t>
    </r>
    <r>
      <rPr>
        <b/>
        <i/>
        <sz val="10"/>
        <color rgb="FFFF0000"/>
        <rFont val="Times New Roman"/>
        <family val="1"/>
      </rPr>
      <t>(note that you can not net inflows and outflows together across years)</t>
    </r>
  </si>
  <si>
    <t>Reconcile the change in the net pension liability or asset to pension expense:</t>
  </si>
  <si>
    <t>Use the "Sensitivity" tab to help calculate your individual employer amounts for the note disclosure.</t>
  </si>
  <si>
    <r>
      <t>Before you start, gather the following information for each plan in which you participate (</t>
    </r>
    <r>
      <rPr>
        <b/>
        <i/>
        <sz val="11"/>
        <color theme="1"/>
        <rFont val="Calibri"/>
        <family val="2"/>
        <scheme val="minor"/>
      </rPr>
      <t>see yellow input cells on each sheet)</t>
    </r>
    <r>
      <rPr>
        <b/>
        <sz val="11"/>
        <color theme="1"/>
        <rFont val="Calibri"/>
        <family val="2"/>
        <scheme val="minor"/>
      </rPr>
      <t>:</t>
    </r>
  </si>
  <si>
    <t>See the "SpecFndg" tab to calculate the amount of revenue and pension expense to recognize and the State's proportionate share of the net pension asset associated with the individual employer for note disclosures.</t>
  </si>
  <si>
    <t>The table below presents the collective net pension liability or asset for each</t>
  </si>
  <si>
    <r>
      <rPr>
        <b/>
        <i/>
        <sz val="11"/>
        <color theme="1"/>
        <rFont val="Calibri"/>
        <family val="2"/>
        <scheme val="minor"/>
      </rPr>
      <t xml:space="preserve">Entity management is </t>
    </r>
    <r>
      <rPr>
        <b/>
        <i/>
        <u/>
        <sz val="11"/>
        <color theme="1"/>
        <rFont val="Calibri"/>
        <family val="2"/>
        <scheme val="minor"/>
      </rPr>
      <t>solely</t>
    </r>
    <r>
      <rPr>
        <b/>
        <i/>
        <sz val="11"/>
        <color theme="1"/>
        <rFont val="Calibri"/>
        <family val="2"/>
        <scheme val="minor"/>
      </rPr>
      <t xml:space="preserve"> responsible for the content of the financial statements.</t>
    </r>
    <r>
      <rPr>
        <i/>
        <sz val="11"/>
        <color theme="1"/>
        <rFont val="Calibri"/>
        <family val="2"/>
        <scheme val="minor"/>
      </rPr>
      <t xml:space="preserve">  This guidance is intended to assist local governments in the application of the new pension standards.  Local governments must use their own professional judgment to determine if this guidance is appropriate for their facts and circumstances and must draw their own conclusions about the proper application of the new pension standards.  Use of this guidance does not represent verification, approval or audit of amounts for financial statement reporting.  Financial statement preparers must retain adequate supporting documentation for all amounts reported.</t>
    </r>
  </si>
  <si>
    <t>% of collective pension expense</t>
  </si>
  <si>
    <t>Deferred Outflows of Resources (DR)</t>
  </si>
  <si>
    <t>You must input</t>
  </si>
  <si>
    <t>employer contributions</t>
  </si>
  <si>
    <t>no contrib. subsequent to meas. date</t>
  </si>
  <si>
    <t>Aggregate Pension Amounts - All Plans</t>
  </si>
  <si>
    <t>Pension liabilities</t>
  </si>
  <si>
    <t>Pension assets</t>
  </si>
  <si>
    <t>Deferred outflows of resources</t>
  </si>
  <si>
    <t>Deferred inflows of resources</t>
  </si>
  <si>
    <t>Pension expense/expenditures</t>
  </si>
  <si>
    <t>For table in notes:</t>
  </si>
  <si>
    <t>The "Summary" tab shows the pension amounts for each plan.  Delete plans that are not applicable.  The total column should trace to the financial statements.</t>
  </si>
  <si>
    <t>The provisions of GASB statements need not be applied to immaterial items.  Governments may consider adopting an amortization threshold for their deferred outflows/inflows related to pensions.  For example, amounts less than $500 could be expensed in the current year rather than amortized over many years.  Set a reasonable threshold for your circumstances and adopt as an official, written finance policy.</t>
  </si>
  <si>
    <t>In your accounting system, you will reverse the prior year amounts, record the current year amounts, and run the net difference through pension expense.</t>
  </si>
  <si>
    <t>Employer Home</t>
  </si>
  <si>
    <r>
      <rPr>
        <b/>
        <sz val="11"/>
        <color rgb="FFFF0000"/>
        <rFont val="Calibri"/>
        <family val="2"/>
      </rPr>
      <t>Important!</t>
    </r>
    <r>
      <rPr>
        <sz val="11"/>
        <color theme="1"/>
        <rFont val="Calibri"/>
        <family val="2"/>
      </rPr>
      <t xml:space="preserve"> - Employers have a responsibility to exercise due care in financial reporting and to verify and recalculate amounts specific to them.  Use the DRS </t>
    </r>
    <r>
      <rPr>
        <i/>
        <sz val="11"/>
        <color theme="1"/>
        <rFont val="Calibri"/>
        <family val="2"/>
      </rPr>
      <t>eServices Contribution Reconciliation</t>
    </r>
    <r>
      <rPr>
        <sz val="11"/>
        <color theme="1"/>
        <rFont val="Calibri"/>
        <family val="2"/>
      </rPr>
      <t>system:</t>
    </r>
  </si>
  <si>
    <t>to verify the reasonableness of contributions used in the calculation of your proportionate share percentage.  Note that DRS calculates contributions based on the process date (the day after the transmittal date), not your reporting date.  This may cause minor timing differences between your accounting records and DRS.  Retain your documentation of the reconciliation process for SAO audit.</t>
  </si>
  <si>
    <t>Annual Financial Reports</t>
  </si>
  <si>
    <t>1) - From the DRS PEFI:</t>
  </si>
  <si>
    <t>Your individual employer allocation percentages for both last year (beginning balances) and the current year (ending balances).</t>
  </si>
  <si>
    <r>
      <t xml:space="preserve">Schedule of Collective Pension Amounts </t>
    </r>
    <r>
      <rPr>
        <sz val="11"/>
        <color rgb="FFFF0000"/>
        <rFont val="Calibri"/>
        <family val="2"/>
        <scheme val="minor"/>
      </rPr>
      <t>(from DRS PEFI)</t>
    </r>
    <r>
      <rPr>
        <sz val="11"/>
        <color theme="1"/>
        <rFont val="Calibri"/>
        <family val="2"/>
        <scheme val="minor"/>
      </rPr>
      <t xml:space="preserve"> - </t>
    </r>
    <r>
      <rPr>
        <b/>
        <sz val="11"/>
        <color theme="1"/>
        <rFont val="Calibri"/>
        <family val="2"/>
        <scheme val="minor"/>
      </rPr>
      <t>LEOFF 1</t>
    </r>
  </si>
  <si>
    <t>DI - ($0)</t>
  </si>
  <si>
    <t>Each plan spreadsheet includes a reconciliation of the net change in the net pension liability to total pension expense.  This reconciliation process ensures that the correct amount for pension expense is reported in the notes.  For this calculation, you will need to add your beginning of the year balances for prior years' changes in proportionate share and your total contributions for the year.  The timing differences identified when you verified the reasonableness of your contributions to DRS will also affect this reconciliation.</t>
  </si>
  <si>
    <t xml:space="preserve">   Deferred Outflows</t>
  </si>
  <si>
    <t>7 years</t>
  </si>
  <si>
    <t>6.8 years</t>
  </si>
  <si>
    <t>DO - $0</t>
  </si>
  <si>
    <t>DI - ($193,179)</t>
  </si>
  <si>
    <t xml:space="preserve"> Deferred Outflows</t>
  </si>
  <si>
    <t>Net =</t>
  </si>
  <si>
    <t xml:space="preserve">Net = </t>
  </si>
  <si>
    <t>net change in pension liability</t>
  </si>
  <si>
    <t>net change in collective DO</t>
  </si>
  <si>
    <t>net change in DO contributions</t>
  </si>
  <si>
    <t>net change in collective DI</t>
  </si>
  <si>
    <t>net change in employer specific DO</t>
  </si>
  <si>
    <t>net change in pension asset</t>
  </si>
  <si>
    <t>net change in employer specific DI</t>
  </si>
  <si>
    <t>For LEOFF 1 there is no pension expense to recognize because the State no longer makes contributions to the plan.</t>
  </si>
  <si>
    <t>Step 4 - Prepare the summary and reconcile to the financial statements</t>
  </si>
  <si>
    <r>
      <t xml:space="preserve">Step 5 - Special Funding Situation </t>
    </r>
    <r>
      <rPr>
        <b/>
        <i/>
        <sz val="11"/>
        <rFont val="Calibri"/>
        <family val="2"/>
        <scheme val="minor"/>
      </rPr>
      <t>(LEOFF employers only)</t>
    </r>
    <r>
      <rPr>
        <b/>
        <sz val="11"/>
        <rFont val="Calibri"/>
        <family val="2"/>
        <scheme val="minor"/>
      </rPr>
      <t>:</t>
    </r>
  </si>
  <si>
    <t>Step 6 - Prepare notes to the financial statements:</t>
  </si>
  <si>
    <t>LEOFF 2 - Reconcile change in NPL to pension expense:</t>
  </si>
  <si>
    <t>2) - The amount of your employer contributions* subsequent to the measurement date (e.g. 6 months).</t>
  </si>
  <si>
    <t>For PERS 1 and LEOFF 1, the recognition period of these closed plans is only 1 year as of the beginning of the year and there is no need to record and amortize the changes in the employers' proportionate share.  These changes are already accounted for in the change in the net pension liability.  However, it is important to identify the amount of the change in order to reconcile pension expense to the net change in the net pension liability.</t>
  </si>
  <si>
    <t>For PERS 2/3, PSERS, and LEOFF 2 plans, the deferred outflow or inflow will be recorded and will be amortized over the remaining service life of active plan participants.  The recognition period for each plan is published in the DRS PEFI.  Amortization always begins as of the beginning of the current year.</t>
  </si>
  <si>
    <r>
      <t xml:space="preserve">2017 PERS 1 </t>
    </r>
    <r>
      <rPr>
        <sz val="11"/>
        <color rgb="FFFF0000"/>
        <rFont val="Calibri"/>
        <family val="2"/>
        <scheme val="minor"/>
      </rPr>
      <t>(from 2017 PEFI)</t>
    </r>
  </si>
  <si>
    <t xml:space="preserve">Contributions from 7/1/17 to 12/31/17: </t>
  </si>
  <si>
    <t>06/30/2017 PEFI</t>
  </si>
  <si>
    <t>other reconciling items (e.g. timing differences, prior year corrections)</t>
  </si>
  <si>
    <t>examples of common</t>
  </si>
  <si>
    <t>reconciling items</t>
  </si>
  <si>
    <t>7.3 years</t>
  </si>
  <si>
    <t>DI - ($956,607)</t>
  </si>
  <si>
    <t>You must input your prior years amortization info in this table</t>
  </si>
  <si>
    <t>12.5 years</t>
  </si>
  <si>
    <t>DI - ($1,033)</t>
  </si>
  <si>
    <r>
      <t xml:space="preserve">2017 LEOFF 2 </t>
    </r>
    <r>
      <rPr>
        <sz val="11"/>
        <color rgb="FFFF0000"/>
        <rFont val="Calibri"/>
        <family val="2"/>
        <scheme val="minor"/>
      </rPr>
      <t>(from 2017 PEFI)</t>
    </r>
  </si>
  <si>
    <t>10.6 years</t>
  </si>
  <si>
    <t>DO - $241,751</t>
  </si>
  <si>
    <t>DI - ($12,679)</t>
  </si>
  <si>
    <t>column of the PEFI</t>
  </si>
  <si>
    <t>from "Employer Contributions"</t>
  </si>
  <si>
    <t>Total Net Deferred (Inflows)/Outflows</t>
  </si>
  <si>
    <t>Yearly Amortization</t>
  </si>
  <si>
    <r>
      <t xml:space="preserve">2017 PSERS </t>
    </r>
    <r>
      <rPr>
        <sz val="11"/>
        <color rgb="FFFF0000"/>
        <rFont val="Calibri"/>
        <family val="2"/>
        <scheme val="minor"/>
      </rPr>
      <t>(from 2017 PEFI)</t>
    </r>
  </si>
  <si>
    <t>Enter DI as credits and DO as debits</t>
  </si>
  <si>
    <t>Caution - The attached illustration is for a local government with a 12/31/18 year end.  If you are using the spreadsheets for a different year end, you will need to modify as necessary.</t>
  </si>
  <si>
    <t xml:space="preserve">Each plan spreadsheet includes a table to help you calculate your annual change in proportionate share.  This is the amount to be recognized for the net effect of the change in proportion (the %) on beginning pension liabilities/assets, deferred outflows and deferred inflows.  The table will calculate a debit (a deferred outflow) or a credit (a deferred inflow).  </t>
  </si>
  <si>
    <r>
      <t xml:space="preserve">The PERS 2/3, PSERS, and LEOFF 2 plan spreadsheets include sample amortization tables to illustrate how the changes in proportionate share are amortized each year.  The 2018 amortization table was calculated in Step 2.  </t>
    </r>
    <r>
      <rPr>
        <b/>
        <sz val="11"/>
        <color theme="1"/>
        <rFont val="Calibri"/>
        <family val="2"/>
        <scheme val="minor"/>
      </rPr>
      <t>You must populate the 2015 through 2017 amortization tables with your individual employer information from the prior years.</t>
    </r>
  </si>
  <si>
    <t>Sample Illustration for entity with 12/31/18 year end</t>
  </si>
  <si>
    <t>Measurement date of 6/30/18</t>
  </si>
  <si>
    <t>Beginning in 2018, amounts on the DRS schedules are reported in whole dollars.  Prior to 2018, amounts on the DRS schedules were reported in thousands.</t>
  </si>
  <si>
    <t>Note that deferred outflows/inflows balances are as of 6/30 year end, so they already include current and prior years amortization.</t>
  </si>
  <si>
    <t>PEFI - Prior year (2017) balances</t>
  </si>
  <si>
    <t>PEFI - Current year (2018) balances</t>
  </si>
  <si>
    <r>
      <t xml:space="preserve">2018 PERS 1 </t>
    </r>
    <r>
      <rPr>
        <sz val="11"/>
        <color rgb="FFFF0000"/>
        <rFont val="Calibri"/>
        <family val="2"/>
        <scheme val="minor"/>
      </rPr>
      <t>(from 2018 PEFI)</t>
    </r>
  </si>
  <si>
    <t xml:space="preserve">Contributions from 7/1/18 to 12/31/18: </t>
  </si>
  <si>
    <t>PLAN AMORTIZATION TABLES (FROM THE 6/30/18 PEFI)</t>
  </si>
  <si>
    <t>For the Fiscal Year Ended June 30, 2018</t>
  </si>
  <si>
    <r>
      <t xml:space="preserve">Differences Between Projected and Actual Earnings on Plan Investments </t>
    </r>
    <r>
      <rPr>
        <b/>
        <i/>
        <sz val="10"/>
        <color rgb="FFFF0000"/>
        <rFont val="Times New Roman"/>
        <family val="1"/>
      </rPr>
      <t>(This is the only one where you can net inflows and outflows across years.  As of 2018, this was a deferred inflow)</t>
    </r>
  </si>
  <si>
    <r>
      <t xml:space="preserve">Net pension liability - </t>
    </r>
    <r>
      <rPr>
        <i/>
        <sz val="11"/>
        <color theme="1"/>
        <rFont val="Calibri"/>
        <family val="2"/>
        <scheme val="minor"/>
      </rPr>
      <t>reverse 2017</t>
    </r>
  </si>
  <si>
    <r>
      <t xml:space="preserve">     Net pension liability - </t>
    </r>
    <r>
      <rPr>
        <i/>
        <sz val="11"/>
        <color theme="1"/>
        <rFont val="Calibri"/>
        <family val="2"/>
        <scheme val="minor"/>
      </rPr>
      <t>2018</t>
    </r>
  </si>
  <si>
    <r>
      <t xml:space="preserve">     Deferred Inflows - </t>
    </r>
    <r>
      <rPr>
        <i/>
        <sz val="11"/>
        <color theme="1"/>
        <rFont val="Calibri"/>
        <family val="2"/>
        <scheme val="minor"/>
      </rPr>
      <t>2018</t>
    </r>
  </si>
  <si>
    <r>
      <t xml:space="preserve">Deferred Outflow - Contributions - </t>
    </r>
    <r>
      <rPr>
        <i/>
        <sz val="11"/>
        <color theme="1"/>
        <rFont val="Calibri"/>
        <family val="2"/>
        <scheme val="minor"/>
      </rPr>
      <t>2018</t>
    </r>
  </si>
  <si>
    <r>
      <t xml:space="preserve">   Deferred Outflow - Contributions - </t>
    </r>
    <r>
      <rPr>
        <i/>
        <sz val="11"/>
        <color theme="1"/>
        <rFont val="Calibri"/>
        <family val="2"/>
        <scheme val="minor"/>
      </rPr>
      <t>reverse 2017</t>
    </r>
  </si>
  <si>
    <t>06/30/2018 PEFI</t>
  </si>
  <si>
    <t>% of collective excluded contributions (see page 133 of 2018 PEFI)</t>
  </si>
  <si>
    <t>your actual 2018</t>
  </si>
  <si>
    <t xml:space="preserve">How close am I? - </t>
  </si>
  <si>
    <r>
      <t xml:space="preserve">Net pension asset - </t>
    </r>
    <r>
      <rPr>
        <i/>
        <sz val="11"/>
        <color theme="1"/>
        <rFont val="Calibri"/>
        <family val="2"/>
        <scheme val="minor"/>
      </rPr>
      <t>2018</t>
    </r>
  </si>
  <si>
    <r>
      <t xml:space="preserve">     Net pension asset - </t>
    </r>
    <r>
      <rPr>
        <i/>
        <sz val="11"/>
        <color theme="1"/>
        <rFont val="Calibri"/>
        <family val="2"/>
        <scheme val="minor"/>
      </rPr>
      <t>reverse 2017</t>
    </r>
  </si>
  <si>
    <t xml:space="preserve">     Deferred Inflows - 2018</t>
  </si>
  <si>
    <r>
      <t xml:space="preserve">Deferred Inflows - </t>
    </r>
    <r>
      <rPr>
        <i/>
        <sz val="11"/>
        <color theme="1"/>
        <rFont val="Calibri"/>
        <family val="2"/>
        <scheme val="minor"/>
      </rPr>
      <t>reverse 2017</t>
    </r>
  </si>
  <si>
    <r>
      <t xml:space="preserve">Deferred inflows - </t>
    </r>
    <r>
      <rPr>
        <i/>
        <sz val="11"/>
        <color theme="1"/>
        <rFont val="Calibri"/>
        <family val="2"/>
        <scheme val="minor"/>
      </rPr>
      <t>reverse 2017</t>
    </r>
  </si>
  <si>
    <t>Participating Employer Financial Information report dated 6/30/18.</t>
  </si>
  <si>
    <r>
      <t xml:space="preserve">Deferred Outflows - </t>
    </r>
    <r>
      <rPr>
        <i/>
        <sz val="11"/>
        <color theme="1"/>
        <rFont val="Calibri"/>
        <family val="2"/>
        <scheme val="minor"/>
      </rPr>
      <t>2018</t>
    </r>
  </si>
  <si>
    <r>
      <t xml:space="preserve">   Deferred Outflows - </t>
    </r>
    <r>
      <rPr>
        <i/>
        <sz val="11"/>
        <color theme="1"/>
        <rFont val="Calibri"/>
        <family val="2"/>
        <scheme val="minor"/>
      </rPr>
      <t>reverse 2017</t>
    </r>
  </si>
  <si>
    <r>
      <t xml:space="preserve">   Deferred Inflows - </t>
    </r>
    <r>
      <rPr>
        <i/>
        <sz val="11"/>
        <color theme="1"/>
        <rFont val="Calibri"/>
        <family val="2"/>
        <scheme val="minor"/>
      </rPr>
      <t>2018</t>
    </r>
  </si>
  <si>
    <t>Amortization (over 7.2 years)</t>
  </si>
  <si>
    <t>7.2 years</t>
  </si>
  <si>
    <t>DO - $622,953</t>
  </si>
  <si>
    <t>Balance as of 2018</t>
  </si>
  <si>
    <t>Step 3 - 2018 amortization</t>
  </si>
  <si>
    <r>
      <t xml:space="preserve">2018 PSERS </t>
    </r>
    <r>
      <rPr>
        <sz val="11"/>
        <color rgb="FFFF0000"/>
        <rFont val="Calibri"/>
        <family val="2"/>
        <scheme val="minor"/>
      </rPr>
      <t>(from 2018 PEFI)</t>
    </r>
  </si>
  <si>
    <t>Amortization (over 12.3 years)</t>
  </si>
  <si>
    <t>DI - (0)</t>
  </si>
  <si>
    <t>DO - $5,338</t>
  </si>
  <si>
    <r>
      <t xml:space="preserve">2018 LEOFF 2 </t>
    </r>
    <r>
      <rPr>
        <sz val="11"/>
        <color rgb="FFFF0000"/>
        <rFont val="Calibri"/>
        <family val="2"/>
        <scheme val="minor"/>
      </rPr>
      <t>(from 2018 PEFI)</t>
    </r>
  </si>
  <si>
    <t>Amortization (over 10.5 years)</t>
  </si>
  <si>
    <t>DI - $0</t>
  </si>
  <si>
    <t>10.5 years</t>
  </si>
  <si>
    <t>DI - ($297,416)</t>
  </si>
  <si>
    <t>See page 123 of the 2018 DRS PEFI:</t>
  </si>
  <si>
    <t>39.301278% divided by 60.698722% = 64.748114%</t>
  </si>
  <si>
    <r>
      <rPr>
        <b/>
        <sz val="11"/>
        <color theme="1"/>
        <rFont val="Calibri"/>
        <family val="2"/>
        <scheme val="minor"/>
      </rPr>
      <t>64.748114%</t>
    </r>
    <r>
      <rPr>
        <sz val="11"/>
        <color theme="1"/>
        <rFont val="Calibri"/>
        <family val="2"/>
        <scheme val="minor"/>
      </rPr>
      <t xml:space="preserve"> X employer proportionate share = State's share associated with the employer</t>
    </r>
  </si>
  <si>
    <t>X 64.748114%</t>
  </si>
  <si>
    <t>See page 113 of the 2018 DRS PEFI:</t>
  </si>
  <si>
    <t>Note that this plan has a net pension asset.</t>
  </si>
  <si>
    <t xml:space="preserve">plan, calculated using the current discount rate of 7.4% as well as 1 percentage  </t>
  </si>
  <si>
    <t xml:space="preserve">point lower (6.4%) and 1 percentage point higher (8.4%).  To calculate the </t>
  </si>
  <si>
    <t>Note for PERS 1 (and also TRS 1) - The employer allocation schedules in the PEFI have separate sections for both the regular allocation (only applicable if you have Plan 1 employees) and the Plan 1 UAAL allocation.  All Plan 2/3 employers will have a Plan 1 UAAL allocation, even if they don't have any Plan 1 employees.  Add the two percentages together to use the Plan 1 spreadsheet.</t>
  </si>
  <si>
    <r>
      <t xml:space="preserve">For all calculations, you must use actual employer contributions to the plans.  This is not the amounts based on published rates, but the amounts that actually were contributed to each plan.  Note that a significant portion of employer contributions from PERS 2/3, SERS 2/3 and PSERS actually go to PERS 1 and should be reported as PERS 1 contributions.  Use the DRS </t>
    </r>
    <r>
      <rPr>
        <i/>
        <sz val="11"/>
        <color theme="1"/>
        <rFont val="Calibri"/>
        <family val="2"/>
        <scheme val="minor"/>
      </rPr>
      <t>eServices Contribution Reconciliation</t>
    </r>
    <r>
      <rPr>
        <sz val="11"/>
        <color theme="1"/>
        <rFont val="Calibri"/>
        <family val="2"/>
        <scheme val="minor"/>
      </rPr>
      <t xml:space="preserve"> system to obtain the breakdown by plan for your employer contributions.  Note that LEOFF 1 has no contributions.</t>
    </r>
  </si>
  <si>
    <r>
      <t xml:space="preserve">2017 LEOFF 1 </t>
    </r>
    <r>
      <rPr>
        <sz val="11"/>
        <color rgb="FFFF0000"/>
        <rFont val="Calibri"/>
        <family val="2"/>
        <scheme val="minor"/>
      </rPr>
      <t>(from 2017 PEFI)</t>
    </r>
  </si>
  <si>
    <r>
      <t xml:space="preserve">2018 LEOFF 1 </t>
    </r>
    <r>
      <rPr>
        <sz val="11"/>
        <color rgb="FFFF0000"/>
        <rFont val="Calibri"/>
        <family val="2"/>
        <scheme val="minor"/>
      </rPr>
      <t>(from 2018 PEFI)</t>
    </r>
  </si>
  <si>
    <t>12.3 years</t>
  </si>
  <si>
    <r>
      <t xml:space="preserve">2017 PERS 2/3 </t>
    </r>
    <r>
      <rPr>
        <sz val="11"/>
        <color rgb="FFFF0000"/>
        <rFont val="Calibri"/>
        <family val="2"/>
        <scheme val="minor"/>
      </rPr>
      <t>(from 2017 PEFI)</t>
    </r>
  </si>
  <si>
    <r>
      <t xml:space="preserve">2018 PERS 2/3 </t>
    </r>
    <r>
      <rPr>
        <sz val="11"/>
        <color rgb="FFFF0000"/>
        <rFont val="Calibri"/>
        <family val="2"/>
        <scheme val="minor"/>
      </rPr>
      <t>(from 2018 PEFI)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</si>
</sst>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0%"/>
    <numFmt numFmtId="165" formatCode="_(* #,##0_);_(* \(#,##0\);_(* &quot;-&quot;??_);_(@_)"/>
  </numFmts>
  <fonts count="3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i/>
      <sz val="11"/>
      <color rgb="FFFF0000"/>
      <name val="Calibri"/>
      <family val="2"/>
      <scheme val="minor"/>
    </font>
    <font>
      <i/>
      <sz val="11"/>
      <color rgb="FFFF0000"/>
      <name val="Calibri"/>
      <family val="2"/>
      <scheme val="minor"/>
    </font>
    <font>
      <i/>
      <sz val="11"/>
      <color theme="1"/>
      <name val="Calibri"/>
      <family val="2"/>
      <scheme val="minor"/>
    </font>
    <font>
      <b/>
      <sz val="11"/>
      <color rgb="FF0070C0"/>
      <name val="Calibri"/>
      <family val="2"/>
      <scheme val="minor"/>
    </font>
    <font>
      <b/>
      <sz val="11"/>
      <color theme="4" tint="-0.249977111117893"/>
      <name val="Calibri"/>
      <family val="2"/>
      <scheme val="minor"/>
    </font>
    <font>
      <sz val="11"/>
      <color theme="1" tint="0.499984740745262"/>
      <name val="Calibri"/>
      <family val="2"/>
      <scheme val="minor"/>
    </font>
    <font>
      <sz val="11"/>
      <name val="Calibri"/>
      <family val="2"/>
      <scheme val="minor"/>
    </font>
    <font>
      <b/>
      <i/>
      <sz val="11"/>
      <color theme="1"/>
      <name val="Calibri"/>
      <family val="2"/>
      <scheme val="minor"/>
    </font>
    <font>
      <i/>
      <sz val="11"/>
      <name val="Calibri"/>
      <family val="2"/>
      <scheme val="minor"/>
    </font>
    <font>
      <b/>
      <sz val="11"/>
      <color rgb="FFFF0000"/>
      <name val="Calibri"/>
      <family val="2"/>
      <scheme val="minor"/>
    </font>
    <font>
      <b/>
      <sz val="14"/>
      <color rgb="FFFF0000"/>
      <name val="Calibri"/>
      <family val="2"/>
      <scheme val="minor"/>
    </font>
    <font>
      <b/>
      <sz val="8"/>
      <name val="Arial"/>
      <family val="2"/>
    </font>
    <font>
      <sz val="8"/>
      <color rgb="FF000000"/>
      <name val="Arial"/>
      <family val="2"/>
    </font>
    <font>
      <sz val="8"/>
      <name val="Arial"/>
      <family val="2"/>
    </font>
    <font>
      <b/>
      <sz val="8"/>
      <color rgb="FF000000"/>
      <name val="Arial"/>
      <family val="2"/>
    </font>
    <font>
      <b/>
      <sz val="10"/>
      <name val="Times New Roman"/>
      <family val="1"/>
    </font>
    <font>
      <b/>
      <i/>
      <sz val="10"/>
      <color rgb="FFFF0000"/>
      <name val="Times New Roman"/>
      <family val="1"/>
    </font>
    <font>
      <b/>
      <i/>
      <sz val="10"/>
      <name val="Times New Roman"/>
      <family val="1"/>
    </font>
    <font>
      <sz val="8"/>
      <color theme="1"/>
      <name val="Arial"/>
      <family val="2"/>
    </font>
    <font>
      <b/>
      <i/>
      <u/>
      <sz val="11"/>
      <color theme="1"/>
      <name val="Calibri"/>
      <family val="2"/>
      <scheme val="minor"/>
    </font>
    <font>
      <i/>
      <sz val="11"/>
      <color theme="1"/>
      <name val="Calibri"/>
      <family val="2"/>
    </font>
    <font>
      <sz val="11"/>
      <color theme="1"/>
      <name val="Times New Roman"/>
      <family val="1"/>
    </font>
    <font>
      <sz val="11"/>
      <color theme="1"/>
      <name val="Calibri"/>
      <family val="2"/>
    </font>
    <font>
      <b/>
      <sz val="11"/>
      <color rgb="FFFF0000"/>
      <name val="Calibri"/>
      <family val="2"/>
    </font>
    <font>
      <u/>
      <sz val="11"/>
      <color theme="10"/>
      <name val="Calibri"/>
      <family val="2"/>
      <scheme val="minor"/>
    </font>
    <font>
      <b/>
      <sz val="11"/>
      <name val="Calibri"/>
      <family val="2"/>
      <scheme val="minor"/>
    </font>
    <font>
      <b/>
      <i/>
      <sz val="11"/>
      <name val="Calibri"/>
      <family val="2"/>
      <scheme val="minor"/>
    </font>
    <font>
      <sz val="11"/>
      <color theme="0" tint="-0.499984740745262"/>
      <name val="Calibri"/>
      <family val="2"/>
      <scheme val="minor"/>
    </font>
    <font>
      <b/>
      <sz val="8"/>
      <color theme="1"/>
      <name val="Arial"/>
      <family val="2"/>
    </font>
    <font>
      <i/>
      <sz val="10"/>
      <color theme="4" tint="-0.249977111117893"/>
      <name val="Calibri"/>
      <family val="2"/>
      <scheme val="minor"/>
    </font>
    <font>
      <sz val="11"/>
      <color theme="2" tint="-0.499984740745262"/>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6E7E8"/>
      </patternFill>
    </fill>
    <fill>
      <patternFill patternType="solid">
        <fgColor rgb="FFD4E4E6"/>
      </patternFill>
    </fill>
    <fill>
      <patternFill patternType="solid">
        <fgColor rgb="FFFFC00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7"/>
        <bgColor indexed="64"/>
      </patternFill>
    </fill>
  </fills>
  <borders count="3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top/>
      <bottom style="thick">
        <color rgb="FFFF0000"/>
      </bottom>
      <diagonal/>
    </border>
    <border>
      <left/>
      <right/>
      <top/>
      <bottom style="thin">
        <color rgb="FFA7A9AC"/>
      </bottom>
      <diagonal/>
    </border>
    <border>
      <left/>
      <right/>
      <top style="thin">
        <color rgb="FFA7A9AC"/>
      </top>
      <bottom/>
      <diagonal/>
    </border>
    <border>
      <left/>
      <right/>
      <top style="thin">
        <color rgb="FFA7A9AC"/>
      </top>
      <bottom style="double">
        <color indexed="64"/>
      </bottom>
      <diagonal/>
    </border>
    <border>
      <left/>
      <right/>
      <top style="thin">
        <color rgb="FFA7A9AC"/>
      </top>
      <bottom style="thin">
        <color rgb="FFA7A9AC"/>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423">
    <xf numFmtId="0" fontId="0" fillId="0" borderId="0" xfId="0"/>
    <xf numFmtId="0" fontId="3" fillId="0" borderId="0" xfId="0" applyFont="1"/>
    <xf numFmtId="0" fontId="0" fillId="0" borderId="0" xfId="0" applyAlignment="1"/>
    <xf numFmtId="0" fontId="4" fillId="0" borderId="0" xfId="0" applyFont="1" applyAlignment="1"/>
    <xf numFmtId="0" fontId="5" fillId="0" borderId="0" xfId="0" applyFont="1" applyAlignment="1"/>
    <xf numFmtId="41" fontId="9" fillId="0" borderId="0" xfId="0" applyNumberFormat="1" applyFont="1" applyFill="1" applyBorder="1"/>
    <xf numFmtId="0" fontId="0" fillId="0" borderId="0" xfId="0" applyFill="1"/>
    <xf numFmtId="41" fontId="0" fillId="0" borderId="0" xfId="0" applyNumberFormat="1" applyFill="1"/>
    <xf numFmtId="41" fontId="0" fillId="0" borderId="0" xfId="0" applyNumberFormat="1" applyFill="1" applyBorder="1"/>
    <xf numFmtId="0" fontId="11" fillId="0" borderId="0" xfId="0" applyFont="1" applyFill="1"/>
    <xf numFmtId="0" fontId="11" fillId="0" borderId="0" xfId="0" applyFont="1" applyFill="1" applyAlignment="1">
      <alignment horizontal="center"/>
    </xf>
    <xf numFmtId="38" fontId="0" fillId="0" borderId="0" xfId="0" applyNumberFormat="1" applyFill="1"/>
    <xf numFmtId="0" fontId="0" fillId="0" borderId="0" xfId="0" applyBorder="1"/>
    <xf numFmtId="0" fontId="5" fillId="0" borderId="0" xfId="0" applyFont="1" applyAlignment="1">
      <alignment horizontal="right"/>
    </xf>
    <xf numFmtId="0" fontId="12" fillId="0" borderId="0" xfId="0" applyFont="1"/>
    <xf numFmtId="0" fontId="6" fillId="0" borderId="0" xfId="0" applyFont="1"/>
    <xf numFmtId="38" fontId="0" fillId="0" borderId="0" xfId="0" applyNumberFormat="1"/>
    <xf numFmtId="38" fontId="0" fillId="0" borderId="0" xfId="0" applyNumberFormat="1" applyFont="1" applyFill="1" applyBorder="1"/>
    <xf numFmtId="0" fontId="6" fillId="0" borderId="0" xfId="0" applyFont="1" applyAlignment="1">
      <alignment horizontal="right"/>
    </xf>
    <xf numFmtId="38" fontId="0" fillId="0" borderId="0" xfId="0" applyNumberFormat="1" applyFont="1" applyBorder="1"/>
    <xf numFmtId="38" fontId="0" fillId="0" borderId="0" xfId="0" applyNumberFormat="1" applyBorder="1"/>
    <xf numFmtId="0" fontId="0" fillId="0" borderId="0" xfId="0" applyAlignment="1">
      <alignment horizontal="left" indent="2"/>
    </xf>
    <xf numFmtId="38" fontId="0" fillId="0" borderId="2" xfId="0" applyNumberFormat="1" applyBorder="1" applyAlignment="1">
      <alignment horizontal="center" vertical="center"/>
    </xf>
    <xf numFmtId="164" fontId="0" fillId="0" borderId="2" xfId="3" applyNumberFormat="1" applyFont="1" applyBorder="1" applyAlignment="1">
      <alignment horizontal="center" vertical="center"/>
    </xf>
    <xf numFmtId="42" fontId="2" fillId="0" borderId="0" xfId="0" applyNumberFormat="1" applyFont="1" applyBorder="1"/>
    <xf numFmtId="42" fontId="0" fillId="0" borderId="0" xfId="0" applyNumberFormat="1" applyBorder="1"/>
    <xf numFmtId="38" fontId="0" fillId="0" borderId="0" xfId="1" applyNumberFormat="1" applyFont="1" applyBorder="1"/>
    <xf numFmtId="0" fontId="4" fillId="0" borderId="0" xfId="0" applyFont="1" applyBorder="1" applyAlignment="1">
      <alignment wrapText="1"/>
    </xf>
    <xf numFmtId="0" fontId="12" fillId="0" borderId="0" xfId="0" applyFont="1" applyBorder="1" applyAlignment="1"/>
    <xf numFmtId="42" fontId="0" fillId="0" borderId="0" xfId="0" applyNumberFormat="1" applyFill="1" applyBorder="1" applyAlignment="1">
      <alignment horizontal="center"/>
    </xf>
    <xf numFmtId="37" fontId="0" fillId="0" borderId="0" xfId="0" applyNumberFormat="1" applyFont="1" applyFill="1" applyBorder="1"/>
    <xf numFmtId="0" fontId="0" fillId="0" borderId="3" xfId="0" applyBorder="1" applyAlignment="1">
      <alignment horizontal="center" wrapText="1"/>
    </xf>
    <xf numFmtId="0" fontId="0" fillId="4" borderId="4" xfId="0" applyFill="1" applyBorder="1" applyAlignment="1">
      <alignment horizontal="center" wrapText="1"/>
    </xf>
    <xf numFmtId="0" fontId="0" fillId="5" borderId="4" xfId="0" applyFill="1" applyBorder="1" applyAlignment="1">
      <alignment horizontal="center" wrapText="1"/>
    </xf>
    <xf numFmtId="41" fontId="7" fillId="0" borderId="1" xfId="0" applyNumberFormat="1" applyFont="1" applyFill="1" applyBorder="1"/>
    <xf numFmtId="0" fontId="0" fillId="6" borderId="4" xfId="0" applyFill="1" applyBorder="1" applyAlignment="1">
      <alignment horizontal="center" wrapText="1"/>
    </xf>
    <xf numFmtId="41" fontId="7" fillId="4" borderId="0" xfId="2" applyNumberFormat="1" applyFont="1" applyFill="1" applyBorder="1"/>
    <xf numFmtId="41" fontId="7" fillId="4" borderId="1" xfId="2" applyNumberFormat="1" applyFont="1" applyFill="1" applyBorder="1"/>
    <xf numFmtId="41" fontId="7" fillId="5" borderId="1" xfId="0" applyNumberFormat="1" applyFont="1" applyFill="1" applyBorder="1"/>
    <xf numFmtId="0" fontId="0" fillId="6" borderId="0" xfId="0" applyFill="1" applyBorder="1" applyAlignment="1">
      <alignment wrapText="1"/>
    </xf>
    <xf numFmtId="41" fontId="8" fillId="6" borderId="0" xfId="0" applyNumberFormat="1" applyFont="1" applyFill="1" applyBorder="1"/>
    <xf numFmtId="41" fontId="7" fillId="6" borderId="0" xfId="0" applyNumberFormat="1" applyFont="1" applyFill="1" applyBorder="1"/>
    <xf numFmtId="41" fontId="9" fillId="6" borderId="1" xfId="0" applyNumberFormat="1" applyFont="1" applyFill="1" applyBorder="1"/>
    <xf numFmtId="41" fontId="8" fillId="6" borderId="1" xfId="0" applyNumberFormat="1" applyFont="1" applyFill="1" applyBorder="1"/>
    <xf numFmtId="41" fontId="7" fillId="6" borderId="1" xfId="0" applyNumberFormat="1" applyFont="1" applyFill="1" applyBorder="1"/>
    <xf numFmtId="0" fontId="0" fillId="0" borderId="0" xfId="0" applyFont="1"/>
    <xf numFmtId="0" fontId="3" fillId="5" borderId="3" xfId="0" applyFont="1" applyFill="1" applyBorder="1" applyAlignment="1">
      <alignment horizontal="center" wrapText="1"/>
    </xf>
    <xf numFmtId="0" fontId="3" fillId="0" borderId="0" xfId="0" applyFont="1" applyAlignment="1"/>
    <xf numFmtId="0" fontId="0" fillId="0" borderId="0" xfId="0" applyBorder="1" applyAlignment="1"/>
    <xf numFmtId="0" fontId="0" fillId="0" borderId="0" xfId="0" applyFill="1" applyBorder="1" applyAlignment="1"/>
    <xf numFmtId="0" fontId="0" fillId="0" borderId="0" xfId="0" applyFill="1" applyBorder="1"/>
    <xf numFmtId="0" fontId="10" fillId="0" borderId="0" xfId="0" applyFont="1" applyBorder="1" applyAlignment="1">
      <alignment wrapText="1"/>
    </xf>
    <xf numFmtId="165" fontId="10" fillId="0" borderId="0" xfId="1" applyNumberFormat="1" applyFont="1" applyFill="1" applyBorder="1" applyAlignment="1">
      <alignment wrapText="1"/>
    </xf>
    <xf numFmtId="0" fontId="0" fillId="0" borderId="9" xfId="0" applyBorder="1"/>
    <xf numFmtId="0" fontId="0" fillId="0" borderId="10" xfId="0" applyBorder="1"/>
    <xf numFmtId="0" fontId="0" fillId="0" borderId="9" xfId="0" applyFill="1" applyBorder="1"/>
    <xf numFmtId="0" fontId="10" fillId="0" borderId="12" xfId="0" applyFont="1" applyBorder="1" applyAlignment="1">
      <alignment wrapText="1"/>
    </xf>
    <xf numFmtId="0" fontId="11" fillId="0" borderId="0" xfId="0" applyFont="1" applyFill="1" applyBorder="1" applyAlignment="1"/>
    <xf numFmtId="38" fontId="0" fillId="0" borderId="10" xfId="1" applyNumberFormat="1" applyFont="1" applyBorder="1"/>
    <xf numFmtId="42" fontId="0" fillId="0" borderId="10" xfId="0" applyNumberFormat="1" applyBorder="1"/>
    <xf numFmtId="38" fontId="0" fillId="0" borderId="11" xfId="1" applyNumberFormat="1" applyFont="1" applyBorder="1"/>
    <xf numFmtId="0" fontId="6" fillId="0" borderId="9" xfId="0" applyFont="1" applyBorder="1"/>
    <xf numFmtId="0" fontId="4" fillId="0" borderId="9" xfId="0" applyFont="1" applyBorder="1" applyAlignment="1">
      <alignment wrapText="1"/>
    </xf>
    <xf numFmtId="0" fontId="4" fillId="0" borderId="12" xfId="0" applyFont="1" applyBorder="1" applyAlignment="1">
      <alignment wrapText="1"/>
    </xf>
    <xf numFmtId="0" fontId="4" fillId="0" borderId="15" xfId="0" applyFont="1" applyBorder="1" applyAlignment="1">
      <alignment wrapText="1"/>
    </xf>
    <xf numFmtId="0" fontId="0" fillId="0" borderId="15" xfId="0" applyBorder="1"/>
    <xf numFmtId="0" fontId="0" fillId="0" borderId="13" xfId="0" applyBorder="1"/>
    <xf numFmtId="0" fontId="3" fillId="6" borderId="3" xfId="0" applyFont="1" applyFill="1" applyBorder="1" applyAlignment="1">
      <alignment horizontal="center" wrapText="1"/>
    </xf>
    <xf numFmtId="0" fontId="11" fillId="0" borderId="0" xfId="0" applyFont="1"/>
    <xf numFmtId="0" fontId="0" fillId="0" borderId="0" xfId="0" applyAlignment="1">
      <alignment horizontal="center"/>
    </xf>
    <xf numFmtId="41" fontId="7" fillId="5" borderId="0" xfId="2" applyNumberFormat="1" applyFont="1" applyFill="1" applyBorder="1"/>
    <xf numFmtId="41" fontId="8" fillId="5" borderId="0" xfId="0" applyNumberFormat="1" applyFont="1" applyFill="1" applyBorder="1" applyAlignment="1">
      <alignment wrapText="1"/>
    </xf>
    <xf numFmtId="38" fontId="0" fillId="0" borderId="8" xfId="0" applyNumberFormat="1" applyBorder="1"/>
    <xf numFmtId="38" fontId="0" fillId="0" borderId="10" xfId="0" applyNumberFormat="1" applyBorder="1"/>
    <xf numFmtId="38" fontId="0" fillId="0" borderId="11" xfId="0" applyNumberFormat="1" applyFill="1" applyBorder="1"/>
    <xf numFmtId="0" fontId="0" fillId="0" borderId="16" xfId="0" applyBorder="1"/>
    <xf numFmtId="0" fontId="0" fillId="0" borderId="16" xfId="0" applyBorder="1" applyAlignment="1">
      <alignment horizontal="center"/>
    </xf>
    <xf numFmtId="0" fontId="0" fillId="0" borderId="17" xfId="0" applyBorder="1"/>
    <xf numFmtId="0" fontId="0" fillId="0" borderId="17" xfId="0" applyBorder="1" applyAlignment="1">
      <alignment horizontal="center"/>
    </xf>
    <xf numFmtId="0" fontId="0" fillId="0" borderId="18" xfId="0" applyBorder="1" applyAlignment="1">
      <alignment horizontal="center"/>
    </xf>
    <xf numFmtId="0" fontId="0" fillId="0" borderId="18" xfId="0" applyBorder="1"/>
    <xf numFmtId="0" fontId="0" fillId="0" borderId="0" xfId="0" applyAlignment="1">
      <alignment horizontal="right"/>
    </xf>
    <xf numFmtId="38" fontId="0" fillId="0" borderId="19" xfId="0" applyNumberFormat="1" applyBorder="1"/>
    <xf numFmtId="38" fontId="9" fillId="0" borderId="0" xfId="0" applyNumberFormat="1" applyFont="1"/>
    <xf numFmtId="16" fontId="0" fillId="0" borderId="0" xfId="0" applyNumberFormat="1"/>
    <xf numFmtId="38" fontId="3" fillId="0" borderId="20" xfId="0" applyNumberFormat="1" applyFont="1" applyFill="1" applyBorder="1"/>
    <xf numFmtId="38" fontId="3" fillId="0" borderId="0" xfId="0" applyNumberFormat="1" applyFont="1" applyFill="1" applyBorder="1"/>
    <xf numFmtId="38" fontId="3" fillId="0" borderId="20" xfId="0" applyNumberFormat="1" applyFont="1" applyBorder="1"/>
    <xf numFmtId="38" fontId="0" fillId="0" borderId="0" xfId="0" applyNumberFormat="1" applyFill="1" applyBorder="1"/>
    <xf numFmtId="0" fontId="0" fillId="0" borderId="21" xfId="0" applyBorder="1"/>
    <xf numFmtId="0" fontId="0" fillId="0" borderId="21" xfId="0" applyBorder="1" applyAlignment="1">
      <alignment horizontal="center"/>
    </xf>
    <xf numFmtId="0" fontId="0" fillId="0" borderId="0" xfId="0" applyBorder="1" applyAlignment="1">
      <alignment horizontal="center"/>
    </xf>
    <xf numFmtId="0" fontId="0" fillId="0" borderId="22" xfId="0" applyBorder="1" applyAlignment="1">
      <alignment horizontal="center"/>
    </xf>
    <xf numFmtId="0" fontId="6" fillId="0" borderId="0" xfId="0" applyFont="1" applyBorder="1"/>
    <xf numFmtId="0" fontId="3" fillId="0" borderId="0" xfId="0" applyFont="1" applyAlignment="1">
      <alignment horizontal="center"/>
    </xf>
    <xf numFmtId="0" fontId="0" fillId="0" borderId="0" xfId="0" applyAlignment="1">
      <alignment horizontal="center"/>
    </xf>
    <xf numFmtId="0" fontId="3" fillId="0" borderId="19" xfId="0" applyFont="1" applyFill="1" applyBorder="1" applyAlignment="1">
      <alignment horizontal="center"/>
    </xf>
    <xf numFmtId="38" fontId="0" fillId="0" borderId="16" xfId="0" applyNumberFormat="1" applyFill="1" applyBorder="1"/>
    <xf numFmtId="38" fontId="0" fillId="0" borderId="17" xfId="0" applyNumberFormat="1" applyFill="1" applyBorder="1"/>
    <xf numFmtId="38" fontId="0" fillId="0" borderId="24" xfId="0" applyNumberFormat="1" applyFill="1" applyBorder="1"/>
    <xf numFmtId="38" fontId="0" fillId="0" borderId="18" xfId="0" applyNumberFormat="1" applyFill="1" applyBorder="1"/>
    <xf numFmtId="38" fontId="3" fillId="0" borderId="18" xfId="0" applyNumberFormat="1" applyFont="1" applyFill="1" applyBorder="1"/>
    <xf numFmtId="0" fontId="3" fillId="0" borderId="0" xfId="0" applyFont="1" applyFill="1" applyBorder="1" applyAlignment="1">
      <alignment horizontal="center"/>
    </xf>
    <xf numFmtId="37" fontId="9" fillId="0" borderId="0" xfId="0" applyNumberFormat="1" applyFont="1" applyFill="1" applyBorder="1"/>
    <xf numFmtId="0" fontId="3" fillId="0" borderId="10" xfId="0" applyFont="1" applyFill="1" applyBorder="1" applyAlignment="1">
      <alignment horizontal="center"/>
    </xf>
    <xf numFmtId="0" fontId="0" fillId="0" borderId="9" xfId="0" applyFill="1" applyBorder="1" applyAlignment="1">
      <alignment horizontal="right"/>
    </xf>
    <xf numFmtId="0" fontId="3" fillId="0" borderId="23" xfId="0" applyFont="1" applyFill="1" applyBorder="1" applyAlignment="1">
      <alignment horizontal="center"/>
    </xf>
    <xf numFmtId="37" fontId="0" fillId="0" borderId="0" xfId="0" applyNumberFormat="1" applyFill="1" applyBorder="1"/>
    <xf numFmtId="0" fontId="0" fillId="0" borderId="12" xfId="0" applyFill="1" applyBorder="1" applyAlignment="1">
      <alignment horizontal="right"/>
    </xf>
    <xf numFmtId="0" fontId="11" fillId="0" borderId="0" xfId="0" applyFont="1"/>
    <xf numFmtId="0" fontId="0" fillId="0" borderId="12" xfId="0" applyBorder="1" applyAlignment="1">
      <alignment wrapText="1"/>
    </xf>
    <xf numFmtId="0" fontId="0" fillId="0" borderId="13" xfId="0" applyBorder="1" applyAlignment="1">
      <alignment wrapText="1"/>
    </xf>
    <xf numFmtId="0" fontId="0" fillId="0" borderId="12" xfId="0" applyBorder="1"/>
    <xf numFmtId="0" fontId="0" fillId="0" borderId="4" xfId="0" applyBorder="1"/>
    <xf numFmtId="0" fontId="0" fillId="0" borderId="5" xfId="0" applyBorder="1"/>
    <xf numFmtId="0" fontId="0" fillId="3" borderId="16" xfId="0" applyFill="1" applyBorder="1"/>
    <xf numFmtId="0" fontId="0" fillId="3" borderId="18" xfId="0" applyFill="1" applyBorder="1"/>
    <xf numFmtId="5" fontId="0" fillId="0" borderId="17" xfId="0" applyNumberFormat="1" applyBorder="1"/>
    <xf numFmtId="41" fontId="0" fillId="0" borderId="17" xfId="0" applyNumberFormat="1" applyBorder="1"/>
    <xf numFmtId="5" fontId="0" fillId="0" borderId="16" xfId="0" applyNumberFormat="1" applyBorder="1"/>
    <xf numFmtId="41" fontId="0" fillId="0" borderId="16" xfId="0" applyNumberFormat="1" applyBorder="1"/>
    <xf numFmtId="5" fontId="0" fillId="0" borderId="3" xfId="0" applyNumberFormat="1" applyBorder="1"/>
    <xf numFmtId="164" fontId="0" fillId="2" borderId="3" xfId="0" applyNumberFormat="1" applyFill="1" applyBorder="1"/>
    <xf numFmtId="0" fontId="0" fillId="0" borderId="3" xfId="0" applyBorder="1"/>
    <xf numFmtId="16" fontId="0" fillId="3" borderId="18" xfId="0" quotePrefix="1" applyNumberFormat="1" applyFill="1" applyBorder="1"/>
    <xf numFmtId="38" fontId="0" fillId="0" borderId="3" xfId="0" applyNumberFormat="1" applyBorder="1"/>
    <xf numFmtId="38" fontId="3" fillId="0" borderId="3" xfId="0" applyNumberFormat="1" applyFont="1" applyBorder="1"/>
    <xf numFmtId="10" fontId="0" fillId="0" borderId="18" xfId="0" applyNumberFormat="1" applyBorder="1" applyAlignment="1">
      <alignment horizontal="center"/>
    </xf>
    <xf numFmtId="10" fontId="0" fillId="0" borderId="0" xfId="0" applyNumberFormat="1"/>
    <xf numFmtId="37" fontId="9" fillId="0" borderId="0" xfId="0" applyNumberFormat="1" applyFont="1"/>
    <xf numFmtId="0" fontId="0" fillId="2" borderId="3" xfId="0" applyFill="1" applyBorder="1"/>
    <xf numFmtId="37" fontId="4" fillId="0" borderId="0" xfId="0" applyNumberFormat="1" applyFont="1" applyFill="1" applyBorder="1"/>
    <xf numFmtId="0" fontId="13" fillId="0" borderId="0" xfId="0" applyFont="1" applyAlignment="1">
      <alignment vertical="top"/>
    </xf>
    <xf numFmtId="38" fontId="10" fillId="0" borderId="0" xfId="1" applyNumberFormat="1" applyFont="1" applyFill="1" applyBorder="1" applyAlignment="1">
      <alignment wrapText="1"/>
    </xf>
    <xf numFmtId="0" fontId="0" fillId="0" borderId="0" xfId="0" applyFill="1" applyBorder="1" applyAlignment="1">
      <alignment horizontal="right"/>
    </xf>
    <xf numFmtId="0" fontId="5" fillId="0" borderId="0" xfId="0" applyFont="1"/>
    <xf numFmtId="0" fontId="0" fillId="0" borderId="9" xfId="0" applyBorder="1" applyAlignment="1">
      <alignment wrapText="1"/>
    </xf>
    <xf numFmtId="0" fontId="0" fillId="0" borderId="10" xfId="0" applyBorder="1" applyAlignment="1">
      <alignment wrapText="1"/>
    </xf>
    <xf numFmtId="38" fontId="0" fillId="0" borderId="23" xfId="0" applyNumberFormat="1" applyFill="1" applyBorder="1"/>
    <xf numFmtId="42" fontId="10" fillId="0" borderId="0" xfId="0" applyNumberFormat="1" applyFont="1" applyBorder="1"/>
    <xf numFmtId="38" fontId="3" fillId="0" borderId="0" xfId="0" applyNumberFormat="1" applyFont="1"/>
    <xf numFmtId="0" fontId="10" fillId="0" borderId="9" xfId="0" applyFont="1" applyBorder="1"/>
    <xf numFmtId="38" fontId="2" fillId="0" borderId="0" xfId="0" applyNumberFormat="1" applyFont="1"/>
    <xf numFmtId="38" fontId="2" fillId="0" borderId="19" xfId="0" applyNumberFormat="1" applyFont="1" applyBorder="1"/>
    <xf numFmtId="38" fontId="13" fillId="0" borderId="0" xfId="0" applyNumberFormat="1" applyFont="1"/>
    <xf numFmtId="0" fontId="0" fillId="3" borderId="3" xfId="0" applyFill="1" applyBorder="1" applyAlignment="1">
      <alignment horizontal="center"/>
    </xf>
    <xf numFmtId="0" fontId="0" fillId="0" borderId="3" xfId="0" applyBorder="1" applyAlignment="1">
      <alignment wrapText="1"/>
    </xf>
    <xf numFmtId="41" fontId="0" fillId="0" borderId="3" xfId="0" applyNumberFormat="1" applyBorder="1"/>
    <xf numFmtId="37" fontId="0" fillId="0" borderId="3" xfId="0" applyNumberFormat="1" applyBorder="1"/>
    <xf numFmtId="0" fontId="0" fillId="0" borderId="19" xfId="0" quotePrefix="1" applyBorder="1" applyAlignment="1">
      <alignment horizontal="right"/>
    </xf>
    <xf numFmtId="0" fontId="0" fillId="0" borderId="0" xfId="0" applyBorder="1" applyAlignment="1">
      <alignment wrapText="1"/>
    </xf>
    <xf numFmtId="5" fontId="0" fillId="0" borderId="0" xfId="0" applyNumberFormat="1" applyBorder="1"/>
    <xf numFmtId="41" fontId="0" fillId="0" borderId="0" xfId="0" applyNumberFormat="1" applyBorder="1"/>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41" fontId="0" fillId="3" borderId="18" xfId="0" applyNumberFormat="1" applyFill="1" applyBorder="1"/>
    <xf numFmtId="0" fontId="0" fillId="0" borderId="3" xfId="0" applyBorder="1" applyAlignment="1">
      <alignment horizontal="left"/>
    </xf>
    <xf numFmtId="0" fontId="0" fillId="0" borderId="3" xfId="0" applyFill="1" applyBorder="1" applyAlignment="1">
      <alignment horizontal="left"/>
    </xf>
    <xf numFmtId="0" fontId="11" fillId="0" borderId="0" xfId="0" applyFont="1" applyBorder="1"/>
    <xf numFmtId="0" fontId="3" fillId="0" borderId="3" xfId="0" applyFont="1" applyBorder="1" applyAlignment="1">
      <alignment horizontal="right"/>
    </xf>
    <xf numFmtId="0" fontId="4" fillId="0" borderId="0" xfId="0" applyFont="1"/>
    <xf numFmtId="41" fontId="7" fillId="4" borderId="0" xfId="2" applyNumberFormat="1" applyFont="1" applyFill="1" applyBorder="1" applyProtection="1">
      <protection locked="0"/>
    </xf>
    <xf numFmtId="41" fontId="0" fillId="4" borderId="0" xfId="0" applyNumberFormat="1" applyFill="1"/>
    <xf numFmtId="41" fontId="0" fillId="4" borderId="0" xfId="0" applyNumberFormat="1" applyFill="1" applyBorder="1"/>
    <xf numFmtId="41" fontId="0" fillId="5" borderId="0" xfId="0" applyNumberFormat="1" applyFill="1"/>
    <xf numFmtId="41" fontId="3" fillId="5" borderId="0" xfId="0" applyNumberFormat="1" applyFont="1" applyFill="1"/>
    <xf numFmtId="41" fontId="0" fillId="5" borderId="0" xfId="0" applyNumberFormat="1" applyFill="1" applyBorder="1"/>
    <xf numFmtId="41" fontId="3" fillId="5" borderId="0" xfId="0" applyNumberFormat="1" applyFont="1" applyFill="1" applyBorder="1"/>
    <xf numFmtId="41" fontId="0" fillId="6" borderId="0" xfId="0" applyNumberFormat="1" applyFill="1"/>
    <xf numFmtId="41" fontId="3" fillId="6" borderId="0" xfId="0" applyNumberFormat="1" applyFont="1" applyFill="1"/>
    <xf numFmtId="41" fontId="0" fillId="6" borderId="0" xfId="0" applyNumberFormat="1" applyFill="1" applyBorder="1"/>
    <xf numFmtId="41" fontId="3" fillId="6" borderId="0" xfId="0" applyNumberFormat="1" applyFont="1" applyFill="1" applyBorder="1"/>
    <xf numFmtId="0" fontId="0" fillId="0" borderId="0" xfId="0" applyAlignment="1">
      <alignment horizontal="right" vertical="center"/>
    </xf>
    <xf numFmtId="0" fontId="0" fillId="0" borderId="1" xfId="0" applyBorder="1"/>
    <xf numFmtId="0" fontId="3" fillId="0" borderId="1" xfId="0" applyFont="1" applyBorder="1"/>
    <xf numFmtId="0" fontId="3" fillId="0" borderId="0" xfId="0" applyFont="1" applyAlignment="1">
      <alignment horizontal="right"/>
    </xf>
    <xf numFmtId="0" fontId="0" fillId="0" borderId="0" xfId="0" applyAlignment="1">
      <alignment horizontal="center"/>
    </xf>
    <xf numFmtId="0" fontId="0" fillId="0" borderId="0" xfId="0" applyFill="1" applyBorder="1" applyAlignment="1">
      <alignment horizontal="left" vertical="top"/>
    </xf>
    <xf numFmtId="0" fontId="15" fillId="8" borderId="27" xfId="0" applyFont="1" applyFill="1" applyBorder="1" applyAlignment="1">
      <alignment horizontal="right" vertical="top"/>
    </xf>
    <xf numFmtId="1" fontId="16" fillId="0" borderId="0" xfId="0" applyNumberFormat="1" applyFont="1" applyFill="1" applyBorder="1" applyAlignment="1">
      <alignment horizontal="right" vertical="top"/>
    </xf>
    <xf numFmtId="1" fontId="16" fillId="0" borderId="28" xfId="0" applyNumberFormat="1" applyFont="1" applyFill="1" applyBorder="1" applyAlignment="1">
      <alignment horizontal="right" vertical="top"/>
    </xf>
    <xf numFmtId="0" fontId="15" fillId="0" borderId="27" xfId="0" applyFont="1" applyFill="1" applyBorder="1" applyAlignment="1">
      <alignment horizontal="left" vertical="top"/>
    </xf>
    <xf numFmtId="0" fontId="15" fillId="0" borderId="27" xfId="0" applyFont="1" applyFill="1" applyBorder="1" applyAlignment="1">
      <alignment horizontal="right" vertical="top"/>
    </xf>
    <xf numFmtId="0" fontId="15" fillId="0" borderId="0" xfId="0" applyFont="1" applyFill="1" applyBorder="1" applyAlignment="1">
      <alignment horizontal="left" vertical="top" wrapText="1"/>
    </xf>
    <xf numFmtId="0" fontId="19" fillId="7" borderId="8" xfId="0" applyFont="1" applyFill="1" applyBorder="1" applyAlignment="1">
      <alignment horizontal="left" vertical="top"/>
    </xf>
    <xf numFmtId="0" fontId="19" fillId="7" borderId="13" xfId="0" applyFont="1" applyFill="1" applyBorder="1" applyAlignment="1">
      <alignment horizontal="left" vertical="top"/>
    </xf>
    <xf numFmtId="41" fontId="16" fillId="8" borderId="27" xfId="1" applyNumberFormat="1" applyFont="1" applyFill="1" applyBorder="1" applyAlignment="1">
      <alignment horizontal="right" vertical="top"/>
    </xf>
    <xf numFmtId="41" fontId="16" fillId="0" borderId="27" xfId="1" applyNumberFormat="1" applyFont="1" applyFill="1" applyBorder="1" applyAlignment="1">
      <alignment horizontal="right" vertical="top"/>
    </xf>
    <xf numFmtId="41" fontId="16" fillId="8" borderId="0" xfId="1" applyNumberFormat="1" applyFont="1" applyFill="1" applyBorder="1" applyAlignment="1">
      <alignment horizontal="right" vertical="top"/>
    </xf>
    <xf numFmtId="41" fontId="16" fillId="0" borderId="0" xfId="1" applyNumberFormat="1" applyFont="1" applyFill="1" applyBorder="1" applyAlignment="1">
      <alignment horizontal="right" vertical="top"/>
    </xf>
    <xf numFmtId="41" fontId="16" fillId="8" borderId="28" xfId="1" applyNumberFormat="1" applyFont="1" applyFill="1" applyBorder="1" applyAlignment="1">
      <alignment horizontal="right" vertical="top"/>
    </xf>
    <xf numFmtId="41" fontId="16" fillId="0" borderId="28" xfId="1" applyNumberFormat="1" applyFont="1" applyFill="1" applyBorder="1" applyAlignment="1">
      <alignment horizontal="right" vertical="top"/>
    </xf>
    <xf numFmtId="41" fontId="17" fillId="8" borderId="0" xfId="1" applyNumberFormat="1" applyFont="1" applyFill="1" applyBorder="1" applyAlignment="1">
      <alignment horizontal="right" vertical="top"/>
    </xf>
    <xf numFmtId="41" fontId="17" fillId="0" borderId="0" xfId="1" applyNumberFormat="1" applyFont="1" applyFill="1" applyBorder="1" applyAlignment="1">
      <alignment horizontal="right" vertical="top"/>
    </xf>
    <xf numFmtId="41" fontId="17" fillId="8" borderId="0" xfId="1" applyNumberFormat="1" applyFont="1" applyFill="1" applyBorder="1" applyAlignment="1">
      <alignment horizontal="left" vertical="top"/>
    </xf>
    <xf numFmtId="41" fontId="18" fillId="8" borderId="29" xfId="1" applyNumberFormat="1" applyFont="1" applyFill="1" applyBorder="1" applyAlignment="1">
      <alignment horizontal="right"/>
    </xf>
    <xf numFmtId="41" fontId="18" fillId="0" borderId="29" xfId="1" applyNumberFormat="1" applyFont="1" applyFill="1" applyBorder="1" applyAlignment="1">
      <alignment horizontal="right"/>
    </xf>
    <xf numFmtId="0" fontId="19" fillId="0" borderId="0" xfId="0" applyFont="1" applyFill="1" applyBorder="1" applyAlignment="1">
      <alignment horizontal="left" vertical="top"/>
    </xf>
    <xf numFmtId="0" fontId="0" fillId="0" borderId="7" xfId="0" applyBorder="1"/>
    <xf numFmtId="0" fontId="14" fillId="0" borderId="0" xfId="0" applyFont="1" applyFill="1" applyBorder="1" applyAlignment="1">
      <alignment horizontal="center"/>
    </xf>
    <xf numFmtId="0" fontId="15" fillId="0" borderId="0" xfId="0" applyFont="1" applyFill="1" applyBorder="1" applyAlignment="1">
      <alignment horizontal="left" vertical="top"/>
    </xf>
    <xf numFmtId="0" fontId="15" fillId="8" borderId="27" xfId="0" applyFont="1" applyFill="1" applyBorder="1" applyAlignment="1">
      <alignment horizontal="center" vertical="top"/>
    </xf>
    <xf numFmtId="0" fontId="15" fillId="0" borderId="27" xfId="0" applyFont="1" applyFill="1" applyBorder="1" applyAlignment="1">
      <alignment horizontal="center" vertical="top"/>
    </xf>
    <xf numFmtId="0" fontId="19" fillId="3" borderId="8" xfId="0" applyFont="1" applyFill="1" applyBorder="1" applyAlignment="1">
      <alignment horizontal="left" vertical="top"/>
    </xf>
    <xf numFmtId="0" fontId="19" fillId="3" borderId="13" xfId="0" applyFont="1" applyFill="1" applyBorder="1" applyAlignment="1">
      <alignment horizontal="left" vertical="top"/>
    </xf>
    <xf numFmtId="0" fontId="11" fillId="0" borderId="0" xfId="0" applyFont="1" applyFill="1" applyBorder="1" applyAlignment="1">
      <alignment horizontal="center"/>
    </xf>
    <xf numFmtId="38" fontId="0" fillId="0" borderId="0" xfId="1" applyNumberFormat="1" applyFont="1" applyFill="1" applyBorder="1"/>
    <xf numFmtId="42" fontId="0" fillId="0" borderId="0" xfId="0" applyNumberFormat="1" applyFill="1" applyBorder="1"/>
    <xf numFmtId="38" fontId="0" fillId="0" borderId="31" xfId="0" applyNumberFormat="1" applyBorder="1" applyAlignment="1">
      <alignment horizontal="center" vertical="center"/>
    </xf>
    <xf numFmtId="164" fontId="0" fillId="0" borderId="31" xfId="3" applyNumberFormat="1" applyFont="1" applyBorder="1" applyAlignment="1">
      <alignment horizontal="center" vertical="center"/>
    </xf>
    <xf numFmtId="0" fontId="0" fillId="0" borderId="15" xfId="0" applyBorder="1" applyAlignment="1"/>
    <xf numFmtId="0" fontId="5" fillId="0" borderId="9" xfId="0" applyFont="1" applyBorder="1"/>
    <xf numFmtId="0" fontId="5" fillId="0" borderId="9" xfId="0" applyFont="1" applyBorder="1" applyAlignment="1">
      <alignment wrapText="1"/>
    </xf>
    <xf numFmtId="0" fontId="4" fillId="0" borderId="0" xfId="0" applyFont="1" applyBorder="1" applyAlignment="1">
      <alignment horizontal="right"/>
    </xf>
    <xf numFmtId="3" fontId="0" fillId="2" borderId="3" xfId="0" applyNumberFormat="1" applyFill="1" applyBorder="1"/>
    <xf numFmtId="38" fontId="0" fillId="9" borderId="11" xfId="1" applyNumberFormat="1" applyFont="1" applyFill="1" applyBorder="1"/>
    <xf numFmtId="38" fontId="0" fillId="9" borderId="19" xfId="0" applyNumberFormat="1" applyFill="1" applyBorder="1"/>
    <xf numFmtId="38" fontId="10" fillId="9" borderId="13" xfId="1" applyNumberFormat="1" applyFont="1" applyFill="1" applyBorder="1" applyAlignment="1">
      <alignment wrapText="1"/>
    </xf>
    <xf numFmtId="38" fontId="0" fillId="0" borderId="2" xfId="0" applyNumberFormat="1" applyFill="1" applyBorder="1" applyAlignment="1">
      <alignment horizontal="center" vertical="center"/>
    </xf>
    <xf numFmtId="164" fontId="0" fillId="0" borderId="2" xfId="3" applyNumberFormat="1" applyFont="1" applyFill="1" applyBorder="1" applyAlignment="1">
      <alignment horizontal="center" vertical="center"/>
    </xf>
    <xf numFmtId="38" fontId="0" fillId="9" borderId="10" xfId="1" applyNumberFormat="1" applyFont="1" applyFill="1" applyBorder="1"/>
    <xf numFmtId="41" fontId="22" fillId="0" borderId="0" xfId="0" applyNumberFormat="1" applyFont="1"/>
    <xf numFmtId="0" fontId="0" fillId="10" borderId="0" xfId="0" applyFill="1"/>
    <xf numFmtId="0" fontId="6" fillId="10" borderId="0" xfId="0" applyFont="1" applyFill="1" applyAlignment="1">
      <alignment wrapText="1"/>
    </xf>
    <xf numFmtId="38" fontId="0" fillId="2" borderId="3" xfId="0" applyNumberFormat="1" applyFill="1" applyBorder="1"/>
    <xf numFmtId="0" fontId="3" fillId="0" borderId="16" xfId="0" applyFont="1" applyBorder="1" applyAlignment="1">
      <alignment wrapText="1"/>
    </xf>
    <xf numFmtId="0" fontId="6" fillId="0" borderId="17" xfId="0" applyFont="1" applyBorder="1" applyAlignment="1">
      <alignment wrapText="1"/>
    </xf>
    <xf numFmtId="0" fontId="3" fillId="0" borderId="16" xfId="0" applyFont="1" applyBorder="1"/>
    <xf numFmtId="0" fontId="6" fillId="0" borderId="18" xfId="0" applyFont="1" applyBorder="1"/>
    <xf numFmtId="0" fontId="0" fillId="0" borderId="0" xfId="0" applyFont="1" applyAlignment="1">
      <alignment horizontal="left" indent="1"/>
    </xf>
    <xf numFmtId="37" fontId="9" fillId="2" borderId="0" xfId="0" applyNumberFormat="1" applyFont="1" applyFill="1" applyBorder="1"/>
    <xf numFmtId="38" fontId="0" fillId="2" borderId="16" xfId="0" applyNumberFormat="1" applyFill="1" applyBorder="1"/>
    <xf numFmtId="38" fontId="0" fillId="2" borderId="17" xfId="0" applyNumberFormat="1" applyFill="1" applyBorder="1"/>
    <xf numFmtId="0" fontId="3" fillId="2" borderId="19" xfId="0" applyFont="1" applyFill="1" applyBorder="1" applyAlignment="1">
      <alignment horizontal="center"/>
    </xf>
    <xf numFmtId="0" fontId="5" fillId="0" borderId="0" xfId="0" applyFont="1" applyBorder="1"/>
    <xf numFmtId="0" fontId="5" fillId="0" borderId="0" xfId="0" applyFont="1" applyBorder="1" applyAlignment="1"/>
    <xf numFmtId="0" fontId="0" fillId="0" borderId="2" xfId="0" applyBorder="1"/>
    <xf numFmtId="42" fontId="0" fillId="0" borderId="2" xfId="0" applyNumberFormat="1" applyBorder="1"/>
    <xf numFmtId="0" fontId="0" fillId="0" borderId="17" xfId="0" applyBorder="1" applyAlignment="1">
      <alignment vertical="center" wrapText="1"/>
    </xf>
    <xf numFmtId="0" fontId="3" fillId="2" borderId="3" xfId="0" applyFont="1" applyFill="1" applyBorder="1" applyAlignment="1">
      <alignment vertical="center" wrapText="1"/>
    </xf>
    <xf numFmtId="0" fontId="0" fillId="0" borderId="18" xfId="0" applyBorder="1" applyAlignment="1">
      <alignment vertical="center" wrapText="1"/>
    </xf>
    <xf numFmtId="0" fontId="6" fillId="0" borderId="17" xfId="0" applyFont="1" applyBorder="1" applyAlignment="1">
      <alignment horizontal="justify" vertical="center"/>
    </xf>
    <xf numFmtId="0" fontId="25" fillId="0" borderId="0" xfId="0" applyFont="1" applyAlignment="1">
      <alignment horizontal="justify" vertical="center"/>
    </xf>
    <xf numFmtId="0" fontId="6" fillId="0" borderId="3" xfId="0" applyFont="1" applyBorder="1" applyAlignment="1">
      <alignment vertical="center" wrapText="1"/>
    </xf>
    <xf numFmtId="0" fontId="28" fillId="0" borderId="17" xfId="4" applyBorder="1" applyAlignment="1">
      <alignment vertical="center" wrapText="1"/>
    </xf>
    <xf numFmtId="0" fontId="0" fillId="0" borderId="16" xfId="0" applyBorder="1" applyAlignment="1">
      <alignment wrapText="1"/>
    </xf>
    <xf numFmtId="0" fontId="0" fillId="0" borderId="17" xfId="0" applyBorder="1" applyAlignment="1">
      <alignment vertical="top" wrapText="1"/>
    </xf>
    <xf numFmtId="0" fontId="26" fillId="0" borderId="16" xfId="0" applyFont="1" applyBorder="1" applyAlignment="1">
      <alignment horizontal="justify"/>
    </xf>
    <xf numFmtId="0" fontId="26" fillId="0" borderId="18" xfId="0" applyFont="1" applyBorder="1" applyAlignment="1">
      <alignment horizontal="justify" vertical="top"/>
    </xf>
    <xf numFmtId="0" fontId="3" fillId="0" borderId="0" xfId="0" applyFont="1" applyBorder="1" applyAlignment="1">
      <alignment wrapText="1"/>
    </xf>
    <xf numFmtId="0" fontId="0" fillId="0" borderId="3" xfId="0" applyBorder="1" applyAlignment="1">
      <alignment vertical="center" wrapText="1"/>
    </xf>
    <xf numFmtId="38" fontId="0" fillId="0" borderId="0" xfId="0" applyNumberFormat="1" applyAlignment="1"/>
    <xf numFmtId="37" fontId="9" fillId="0" borderId="10" xfId="0" applyNumberFormat="1" applyFont="1" applyBorder="1"/>
    <xf numFmtId="0" fontId="3" fillId="2" borderId="0" xfId="0" applyFont="1" applyFill="1" applyBorder="1" applyAlignment="1">
      <alignment horizontal="center"/>
    </xf>
    <xf numFmtId="38" fontId="11" fillId="0" borderId="0" xfId="0" applyNumberFormat="1" applyFont="1"/>
    <xf numFmtId="0" fontId="11" fillId="0" borderId="0" xfId="0" applyFont="1" applyAlignment="1">
      <alignment horizontal="right"/>
    </xf>
    <xf numFmtId="38" fontId="9" fillId="0" borderId="0" xfId="0" applyNumberFormat="1" applyFont="1" applyBorder="1"/>
    <xf numFmtId="38" fontId="0" fillId="0" borderId="16" xfId="0" applyNumberFormat="1" applyBorder="1"/>
    <xf numFmtId="38" fontId="0" fillId="0" borderId="17" xfId="0" applyNumberFormat="1" applyBorder="1"/>
    <xf numFmtId="38" fontId="0" fillId="0" borderId="24" xfId="0" applyNumberFormat="1" applyBorder="1"/>
    <xf numFmtId="38" fontId="10" fillId="0" borderId="16" xfId="0" applyNumberFormat="1" applyFont="1" applyBorder="1"/>
    <xf numFmtId="38" fontId="10" fillId="0" borderId="17" xfId="0" applyNumberFormat="1" applyFont="1" applyBorder="1"/>
    <xf numFmtId="38" fontId="10" fillId="0" borderId="24" xfId="0" applyNumberFormat="1" applyFont="1" applyBorder="1"/>
    <xf numFmtId="0" fontId="0" fillId="0" borderId="35" xfId="0" applyFill="1" applyBorder="1" applyAlignment="1">
      <alignment horizontal="right"/>
    </xf>
    <xf numFmtId="38" fontId="0" fillId="0" borderId="19" xfId="0" applyNumberFormat="1" applyFill="1" applyBorder="1"/>
    <xf numFmtId="0" fontId="3" fillId="11" borderId="16" xfId="0" applyFont="1" applyFill="1" applyBorder="1" applyAlignment="1">
      <alignment wrapText="1"/>
    </xf>
    <xf numFmtId="0" fontId="3" fillId="11" borderId="3" xfId="0" applyFont="1" applyFill="1"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3" fillId="12" borderId="16" xfId="0" applyFont="1" applyFill="1" applyBorder="1" applyAlignment="1">
      <alignment wrapText="1"/>
    </xf>
    <xf numFmtId="0" fontId="4" fillId="0" borderId="0" xfId="0" applyFont="1" applyFill="1"/>
    <xf numFmtId="0" fontId="29" fillId="11" borderId="16" xfId="0" applyFont="1" applyFill="1" applyBorder="1" applyAlignment="1">
      <alignment wrapText="1"/>
    </xf>
    <xf numFmtId="0" fontId="3" fillId="0" borderId="0" xfId="0" applyFont="1" applyAlignment="1">
      <alignment horizontal="center"/>
    </xf>
    <xf numFmtId="0" fontId="0" fillId="0" borderId="0" xfId="0" applyAlignment="1">
      <alignment horizontal="center"/>
    </xf>
    <xf numFmtId="0" fontId="0" fillId="0" borderId="0" xfId="0" applyBorder="1" applyAlignment="1">
      <alignment horizontal="center" wrapText="1"/>
    </xf>
    <xf numFmtId="41" fontId="7" fillId="0" borderId="0" xfId="0" applyNumberFormat="1" applyFont="1" applyFill="1" applyBorder="1"/>
    <xf numFmtId="38" fontId="3" fillId="0" borderId="0" xfId="0" applyNumberFormat="1" applyFont="1" applyBorder="1"/>
    <xf numFmtId="38" fontId="0" fillId="2" borderId="2" xfId="0" applyNumberFormat="1" applyFill="1" applyBorder="1"/>
    <xf numFmtId="0" fontId="0" fillId="0" borderId="9" xfId="0" applyBorder="1" applyAlignment="1">
      <alignment wrapText="1"/>
    </xf>
    <xf numFmtId="0" fontId="0" fillId="0" borderId="10" xfId="0" applyBorder="1" applyAlignment="1">
      <alignment wrapText="1"/>
    </xf>
    <xf numFmtId="0" fontId="0" fillId="0" borderId="7" xfId="0" applyBorder="1"/>
    <xf numFmtId="0" fontId="0" fillId="0" borderId="8" xfId="0" applyBorder="1"/>
    <xf numFmtId="41" fontId="7" fillId="5" borderId="0" xfId="0" applyNumberFormat="1" applyFont="1" applyFill="1" applyBorder="1" applyAlignment="1">
      <alignment wrapText="1"/>
    </xf>
    <xf numFmtId="38" fontId="0" fillId="9" borderId="0" xfId="0" applyNumberFormat="1" applyFill="1" applyBorder="1"/>
    <xf numFmtId="41" fontId="7" fillId="6" borderId="0" xfId="0" applyNumberFormat="1" applyFont="1" applyFill="1" applyBorder="1" applyAlignment="1">
      <alignment wrapText="1"/>
    </xf>
    <xf numFmtId="38" fontId="0" fillId="2" borderId="0" xfId="0" applyNumberFormat="1" applyFill="1" applyBorder="1"/>
    <xf numFmtId="38" fontId="9" fillId="0" borderId="0" xfId="0" applyNumberFormat="1" applyFont="1" applyFill="1" applyBorder="1"/>
    <xf numFmtId="38" fontId="9" fillId="2" borderId="0" xfId="0" applyNumberFormat="1" applyFont="1" applyFill="1" applyBorder="1"/>
    <xf numFmtId="0" fontId="5" fillId="2" borderId="0" xfId="0" applyFont="1" applyFill="1"/>
    <xf numFmtId="0" fontId="0" fillId="2" borderId="0" xfId="0" applyFill="1"/>
    <xf numFmtId="0" fontId="0" fillId="3" borderId="16" xfId="0" applyFill="1" applyBorder="1" applyAlignment="1">
      <alignment horizontal="center"/>
    </xf>
    <xf numFmtId="41" fontId="0" fillId="0" borderId="10" xfId="0" applyNumberFormat="1" applyBorder="1"/>
    <xf numFmtId="41" fontId="0" fillId="0" borderId="13" xfId="0" applyNumberFormat="1" applyBorder="1"/>
    <xf numFmtId="5" fontId="0" fillId="0" borderId="18" xfId="0" applyNumberFormat="1" applyBorder="1"/>
    <xf numFmtId="37" fontId="0" fillId="0" borderId="0" xfId="0" applyNumberFormat="1"/>
    <xf numFmtId="0" fontId="3" fillId="0" borderId="0" xfId="0" applyFont="1" applyAlignment="1">
      <alignment horizontal="center"/>
    </xf>
    <xf numFmtId="0" fontId="0" fillId="0" borderId="0" xfId="0" applyAlignment="1">
      <alignment horizontal="center"/>
    </xf>
    <xf numFmtId="0" fontId="0" fillId="0" borderId="9" xfId="0" applyBorder="1"/>
    <xf numFmtId="0" fontId="0" fillId="0" borderId="10" xfId="0" applyBorder="1"/>
    <xf numFmtId="0" fontId="10" fillId="0" borderId="9" xfId="0" applyFont="1" applyBorder="1" applyAlignment="1">
      <alignment wrapText="1"/>
    </xf>
    <xf numFmtId="0" fontId="10" fillId="0" borderId="9" xfId="0" applyFont="1" applyBorder="1" applyAlignment="1"/>
    <xf numFmtId="0" fontId="10" fillId="0" borderId="9" xfId="0" applyFont="1" applyFill="1" applyBorder="1" applyAlignment="1">
      <alignment wrapText="1"/>
    </xf>
    <xf numFmtId="0" fontId="10" fillId="0" borderId="12" xfId="0" applyFont="1" applyFill="1" applyBorder="1" applyAlignment="1">
      <alignment wrapText="1"/>
    </xf>
    <xf numFmtId="38" fontId="0" fillId="13" borderId="13" xfId="0" applyNumberFormat="1" applyFill="1" applyBorder="1"/>
    <xf numFmtId="38" fontId="9" fillId="2" borderId="16" xfId="0" applyNumberFormat="1" applyFont="1" applyFill="1" applyBorder="1"/>
    <xf numFmtId="38" fontId="9" fillId="2" borderId="17" xfId="0" applyNumberFormat="1" applyFont="1" applyFill="1" applyBorder="1"/>
    <xf numFmtId="38" fontId="10" fillId="2" borderId="17" xfId="0" applyNumberFormat="1" applyFont="1" applyFill="1" applyBorder="1"/>
    <xf numFmtId="0" fontId="3" fillId="0" borderId="0" xfId="0" applyFont="1" applyAlignment="1">
      <alignment horizontal="center"/>
    </xf>
    <xf numFmtId="0" fontId="0" fillId="0" borderId="0" xfId="0" applyAlignment="1">
      <alignment horizontal="center"/>
    </xf>
    <xf numFmtId="0" fontId="0" fillId="0" borderId="7" xfId="0" applyBorder="1"/>
    <xf numFmtId="0" fontId="0" fillId="0" borderId="9" xfId="0" applyBorder="1"/>
    <xf numFmtId="0" fontId="0" fillId="0" borderId="10" xfId="0" applyBorder="1"/>
    <xf numFmtId="0" fontId="0" fillId="0" borderId="8" xfId="0" applyBorder="1"/>
    <xf numFmtId="0" fontId="0" fillId="0" borderId="10" xfId="0" applyBorder="1"/>
    <xf numFmtId="38" fontId="0" fillId="0" borderId="13" xfId="0" applyNumberFormat="1" applyBorder="1"/>
    <xf numFmtId="38" fontId="0" fillId="0" borderId="23" xfId="1" applyNumberFormat="1" applyFont="1" applyBorder="1"/>
    <xf numFmtId="38" fontId="10" fillId="2" borderId="16" xfId="0" applyNumberFormat="1" applyFont="1" applyFill="1" applyBorder="1"/>
    <xf numFmtId="37" fontId="10" fillId="2" borderId="16" xfId="0" applyNumberFormat="1" applyFont="1" applyFill="1" applyBorder="1"/>
    <xf numFmtId="37" fontId="31" fillId="2" borderId="0" xfId="0" applyNumberFormat="1" applyFont="1" applyFill="1" applyBorder="1"/>
    <xf numFmtId="38" fontId="2" fillId="0" borderId="16" xfId="0" applyNumberFormat="1" applyFont="1" applyBorder="1"/>
    <xf numFmtId="38" fontId="2" fillId="0" borderId="17" xfId="0" applyNumberFormat="1" applyFont="1" applyBorder="1"/>
    <xf numFmtId="37" fontId="10" fillId="0" borderId="16" xfId="0" applyNumberFormat="1" applyFont="1" applyBorder="1"/>
    <xf numFmtId="38" fontId="2" fillId="0" borderId="24" xfId="0" applyNumberFormat="1" applyFont="1" applyBorder="1"/>
    <xf numFmtId="38" fontId="0" fillId="0" borderId="0" xfId="0" applyNumberFormat="1" applyFont="1"/>
    <xf numFmtId="41" fontId="32" fillId="0" borderId="1" xfId="0" applyNumberFormat="1" applyFont="1" applyBorder="1"/>
    <xf numFmtId="0" fontId="4" fillId="2" borderId="0" xfId="0" applyFont="1" applyFill="1"/>
    <xf numFmtId="0" fontId="3" fillId="0" borderId="7" xfId="0" applyFont="1" applyBorder="1"/>
    <xf numFmtId="0" fontId="0" fillId="0" borderId="25" xfId="0" applyBorder="1"/>
    <xf numFmtId="0" fontId="0" fillId="0" borderId="9" xfId="0" quotePrefix="1" applyFont="1" applyBorder="1"/>
    <xf numFmtId="0" fontId="4" fillId="0" borderId="0" xfId="0" applyFont="1" applyAlignment="1">
      <alignment horizontal="left"/>
    </xf>
    <xf numFmtId="0" fontId="4" fillId="0" borderId="0" xfId="0" applyFont="1" applyBorder="1"/>
    <xf numFmtId="0" fontId="4" fillId="0" borderId="0" xfId="0" applyFont="1" applyBorder="1" applyAlignment="1"/>
    <xf numFmtId="0" fontId="3" fillId="0" borderId="0" xfId="0" applyFont="1" applyAlignment="1">
      <alignment horizontal="center"/>
    </xf>
    <xf numFmtId="0" fontId="0" fillId="0" borderId="0" xfId="0" applyAlignment="1">
      <alignment horizontal="center"/>
    </xf>
    <xf numFmtId="0" fontId="0" fillId="0" borderId="9" xfId="0" applyBorder="1"/>
    <xf numFmtId="0" fontId="3" fillId="0" borderId="0" xfId="0" applyFont="1" applyFill="1" applyBorder="1" applyAlignment="1">
      <alignment horizontal="center"/>
    </xf>
    <xf numFmtId="0" fontId="3" fillId="0" borderId="0" xfId="0" applyFont="1" applyAlignment="1">
      <alignment horizontal="center"/>
    </xf>
    <xf numFmtId="0" fontId="0" fillId="0" borderId="0" xfId="0" applyAlignment="1">
      <alignment horizontal="center"/>
    </xf>
    <xf numFmtId="0" fontId="0" fillId="0" borderId="9" xfId="0" applyBorder="1"/>
    <xf numFmtId="0" fontId="3" fillId="0" borderId="0" xfId="0" applyFont="1" applyFill="1" applyBorder="1" applyAlignment="1">
      <alignment horizontal="center"/>
    </xf>
    <xf numFmtId="0" fontId="33" fillId="0" borderId="0" xfId="0" applyFont="1" applyAlignment="1">
      <alignment horizontal="right"/>
    </xf>
    <xf numFmtId="10" fontId="33" fillId="0" borderId="0" xfId="0" applyNumberFormat="1" applyFont="1" applyAlignment="1">
      <alignment horizontal="left"/>
    </xf>
    <xf numFmtId="38" fontId="0" fillId="2" borderId="17" xfId="0" applyNumberFormat="1" applyFont="1" applyFill="1" applyBorder="1"/>
    <xf numFmtId="0" fontId="0" fillId="2" borderId="17" xfId="0" applyFill="1" applyBorder="1"/>
    <xf numFmtId="0" fontId="0" fillId="2" borderId="24" xfId="0" applyFill="1" applyBorder="1"/>
    <xf numFmtId="38" fontId="0" fillId="2" borderId="24" xfId="0" applyNumberFormat="1" applyFill="1" applyBorder="1"/>
    <xf numFmtId="38" fontId="34" fillId="2" borderId="0" xfId="0" applyNumberFormat="1" applyFont="1" applyFill="1" applyBorder="1"/>
    <xf numFmtId="38" fontId="34" fillId="0" borderId="0" xfId="0" applyNumberFormat="1" applyFont="1" applyFill="1" applyBorder="1"/>
    <xf numFmtId="38" fontId="34" fillId="0" borderId="0" xfId="0" applyNumberFormat="1" applyFont="1" applyBorder="1"/>
    <xf numFmtId="38" fontId="34" fillId="0" borderId="10" xfId="0" applyNumberFormat="1" applyFont="1" applyBorder="1"/>
    <xf numFmtId="37" fontId="34" fillId="2" borderId="0" xfId="0" applyNumberFormat="1" applyFont="1" applyFill="1" applyBorder="1"/>
    <xf numFmtId="37" fontId="8" fillId="6" borderId="0" xfId="0" applyNumberFormat="1" applyFont="1" applyFill="1" applyBorder="1" applyAlignment="1">
      <alignment wrapText="1"/>
    </xf>
    <xf numFmtId="38" fontId="10" fillId="2" borderId="24" xfId="0" applyNumberFormat="1" applyFont="1" applyFill="1" applyBorder="1"/>
    <xf numFmtId="37" fontId="10" fillId="0" borderId="17" xfId="0" applyNumberFormat="1" applyFont="1" applyBorder="1"/>
    <xf numFmtId="37" fontId="10" fillId="0" borderId="24" xfId="0" applyNumberFormat="1" applyFont="1" applyBorder="1"/>
    <xf numFmtId="37" fontId="34" fillId="0" borderId="0" xfId="0" applyNumberFormat="1" applyFont="1" applyBorder="1"/>
    <xf numFmtId="37" fontId="34" fillId="0" borderId="10" xfId="0" applyNumberFormat="1" applyFont="1" applyBorder="1"/>
    <xf numFmtId="164" fontId="0" fillId="0" borderId="0" xfId="0" applyNumberFormat="1"/>
    <xf numFmtId="0" fontId="0" fillId="0" borderId="0" xfId="0" applyFill="1" applyBorder="1" applyAlignment="1">
      <alignment horizontal="center"/>
    </xf>
    <xf numFmtId="41" fontId="2" fillId="0" borderId="0" xfId="0" applyNumberFormat="1" applyFont="1" applyFill="1" applyBorder="1"/>
    <xf numFmtId="0" fontId="0" fillId="3" borderId="31" xfId="0" applyFill="1" applyBorder="1"/>
    <xf numFmtId="0" fontId="0" fillId="3" borderId="34" xfId="0" applyFill="1" applyBorder="1"/>
    <xf numFmtId="0" fontId="3" fillId="0" borderId="0" xfId="0" applyFont="1" applyAlignment="1">
      <alignment horizontal="center"/>
    </xf>
    <xf numFmtId="0" fontId="0" fillId="0" borderId="0" xfId="0" applyAlignment="1">
      <alignment horizontal="center"/>
    </xf>
    <xf numFmtId="0" fontId="3" fillId="5" borderId="4" xfId="0" applyFont="1" applyFill="1" applyBorder="1" applyAlignment="1">
      <alignment horizontal="center"/>
    </xf>
    <xf numFmtId="0" fontId="3" fillId="5" borderId="6" xfId="0" applyFont="1" applyFill="1" applyBorder="1" applyAlignment="1">
      <alignment horizontal="center"/>
    </xf>
    <xf numFmtId="0" fontId="3" fillId="6" borderId="4" xfId="0" applyFont="1" applyFill="1" applyBorder="1" applyAlignment="1">
      <alignment horizontal="center"/>
    </xf>
    <xf numFmtId="0" fontId="3" fillId="6" borderId="6" xfId="0" applyFont="1" applyFill="1" applyBorder="1" applyAlignment="1">
      <alignment horizontal="center"/>
    </xf>
    <xf numFmtId="0" fontId="3" fillId="6" borderId="5" xfId="0" applyFont="1" applyFill="1" applyBorder="1" applyAlignment="1">
      <alignment horizontal="center"/>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15" xfId="0" applyBorder="1" applyAlignment="1">
      <alignment horizontal="center" wrapText="1"/>
    </xf>
    <xf numFmtId="0" fontId="0" fillId="0" borderId="13" xfId="0" applyBorder="1" applyAlignment="1">
      <alignment horizontal="center" wrapText="1"/>
    </xf>
    <xf numFmtId="0" fontId="0" fillId="0" borderId="7" xfId="0" applyBorder="1"/>
    <xf numFmtId="0" fontId="0" fillId="0" borderId="8" xfId="0" applyBorder="1"/>
    <xf numFmtId="0" fontId="0" fillId="0" borderId="9" xfId="0" applyBorder="1" applyAlignment="1">
      <alignment vertical="top" wrapText="1"/>
    </xf>
    <xf numFmtId="0" fontId="0" fillId="0" borderId="10" xfId="0" applyBorder="1" applyAlignment="1">
      <alignment vertical="top" wrapText="1"/>
    </xf>
    <xf numFmtId="0" fontId="0" fillId="9" borderId="9" xfId="0" applyFill="1" applyBorder="1" applyAlignment="1">
      <alignment horizontal="left" wrapText="1"/>
    </xf>
    <xf numFmtId="0" fontId="0" fillId="9" borderId="0" xfId="0" applyFill="1" applyBorder="1" applyAlignment="1">
      <alignment horizontal="left" wrapText="1"/>
    </xf>
    <xf numFmtId="0" fontId="11" fillId="0" borderId="0" xfId="0" applyFont="1"/>
    <xf numFmtId="0" fontId="3" fillId="0" borderId="14" xfId="0" applyFont="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Border="1" applyAlignment="1">
      <alignment horizontal="center" vertical="center"/>
    </xf>
    <xf numFmtId="0" fontId="11" fillId="3" borderId="4" xfId="0" applyFont="1" applyFill="1" applyBorder="1" applyAlignment="1">
      <alignment horizontal="center"/>
    </xf>
    <xf numFmtId="0" fontId="11" fillId="3" borderId="6" xfId="0" applyFont="1" applyFill="1" applyBorder="1" applyAlignment="1">
      <alignment horizontal="center"/>
    </xf>
    <xf numFmtId="0" fontId="11" fillId="3" borderId="5" xfId="0" applyFont="1" applyFill="1" applyBorder="1" applyAlignment="1">
      <alignment horizontal="center"/>
    </xf>
    <xf numFmtId="0" fontId="0" fillId="0" borderId="0" xfId="0" applyAlignment="1">
      <alignment horizontal="left" wrapText="1"/>
    </xf>
    <xf numFmtId="0" fontId="3" fillId="3" borderId="4" xfId="0" applyFont="1" applyFill="1" applyBorder="1" applyAlignment="1">
      <alignment horizontal="center"/>
    </xf>
    <xf numFmtId="0" fontId="3" fillId="3" borderId="6" xfId="0" applyFont="1" applyFill="1" applyBorder="1" applyAlignment="1">
      <alignment horizontal="center"/>
    </xf>
    <xf numFmtId="0" fontId="3" fillId="3" borderId="5" xfId="0" applyFont="1" applyFill="1" applyBorder="1" applyAlignment="1">
      <alignment horizontal="center"/>
    </xf>
    <xf numFmtId="0" fontId="0" fillId="0" borderId="4" xfId="0" applyBorder="1" applyAlignment="1">
      <alignment horizontal="center" wrapText="1"/>
    </xf>
    <xf numFmtId="0" fontId="0" fillId="0" borderId="5" xfId="0" applyBorder="1" applyAlignment="1">
      <alignment horizontal="center" wrapText="1"/>
    </xf>
    <xf numFmtId="0" fontId="0" fillId="0" borderId="9" xfId="0" applyBorder="1"/>
    <xf numFmtId="0" fontId="0" fillId="0" borderId="10" xfId="0" applyBorder="1"/>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0" fillId="0" borderId="36" xfId="0" applyBorder="1" applyAlignment="1">
      <alignment horizontal="center" wrapText="1"/>
    </xf>
    <xf numFmtId="0" fontId="0" fillId="0" borderId="37" xfId="0" applyBorder="1" applyAlignment="1">
      <alignment horizontal="center" wrapText="1"/>
    </xf>
    <xf numFmtId="0" fontId="3" fillId="0" borderId="0" xfId="0" applyFont="1" applyFill="1" applyBorder="1" applyAlignment="1">
      <alignment horizontal="center"/>
    </xf>
    <xf numFmtId="0" fontId="19" fillId="7" borderId="7" xfId="0" applyFont="1" applyFill="1" applyBorder="1" applyAlignment="1">
      <alignment horizontal="left" vertical="top"/>
    </xf>
    <xf numFmtId="0" fontId="19" fillId="7" borderId="25" xfId="0" applyFont="1" applyFill="1" applyBorder="1" applyAlignment="1">
      <alignment horizontal="left" vertical="top"/>
    </xf>
    <xf numFmtId="0" fontId="19" fillId="7" borderId="12" xfId="0" applyFont="1" applyFill="1" applyBorder="1" applyAlignment="1">
      <alignment horizontal="left" vertical="top"/>
    </xf>
    <xf numFmtId="0" fontId="19" fillId="7" borderId="15" xfId="0" applyFont="1" applyFill="1" applyBorder="1" applyAlignment="1">
      <alignment horizontal="left" vertical="top"/>
    </xf>
    <xf numFmtId="0" fontId="15" fillId="8" borderId="27" xfId="0" applyFont="1" applyFill="1" applyBorder="1" applyAlignment="1">
      <alignment horizontal="center" vertical="top"/>
    </xf>
    <xf numFmtId="0" fontId="15" fillId="0" borderId="27" xfId="0" applyFont="1" applyFill="1" applyBorder="1" applyAlignment="1">
      <alignment horizontal="center" vertical="top"/>
    </xf>
    <xf numFmtId="0" fontId="15" fillId="0" borderId="0" xfId="0" applyFont="1" applyFill="1" applyBorder="1" applyAlignment="1">
      <alignment horizontal="center" vertical="top"/>
    </xf>
    <xf numFmtId="0" fontId="14" fillId="0" borderId="26" xfId="0" applyFont="1" applyFill="1" applyBorder="1" applyAlignment="1">
      <alignment horizontal="center"/>
    </xf>
    <xf numFmtId="0" fontId="15" fillId="8" borderId="30" xfId="0" applyFont="1" applyFill="1" applyBorder="1" applyAlignment="1">
      <alignment horizontal="center" vertical="top"/>
    </xf>
    <xf numFmtId="0" fontId="19" fillId="3" borderId="7" xfId="0" applyFont="1" applyFill="1" applyBorder="1" applyAlignment="1">
      <alignment horizontal="left" vertical="top"/>
    </xf>
    <xf numFmtId="0" fontId="19" fillId="3" borderId="25" xfId="0" applyFont="1" applyFill="1" applyBorder="1" applyAlignment="1">
      <alignment horizontal="left" vertical="top"/>
    </xf>
    <xf numFmtId="0" fontId="19" fillId="3" borderId="12" xfId="0" applyFont="1" applyFill="1" applyBorder="1" applyAlignment="1">
      <alignment horizontal="left" vertical="top"/>
    </xf>
    <xf numFmtId="0" fontId="19" fillId="3" borderId="15" xfId="0" applyFont="1" applyFill="1" applyBorder="1" applyAlignment="1">
      <alignment horizontal="left" vertical="top"/>
    </xf>
    <xf numFmtId="0" fontId="15" fillId="3" borderId="27" xfId="0" applyFont="1" applyFill="1" applyBorder="1" applyAlignment="1">
      <alignment horizontal="center" vertical="top"/>
    </xf>
    <xf numFmtId="41" fontId="16" fillId="0" borderId="30" xfId="1" applyNumberFormat="1" applyFont="1" applyFill="1" applyBorder="1" applyAlignment="1">
      <alignment horizontal="right" vertical="top"/>
    </xf>
    <xf numFmtId="41" fontId="16" fillId="3" borderId="30" xfId="1" applyNumberFormat="1" applyFont="1" applyFill="1" applyBorder="1" applyAlignment="1">
      <alignment horizontal="right" vertical="top"/>
    </xf>
    <xf numFmtId="41" fontId="18" fillId="3" borderId="29" xfId="1" applyNumberFormat="1" applyFont="1" applyFill="1" applyBorder="1" applyAlignment="1">
      <alignment horizontal="right"/>
    </xf>
    <xf numFmtId="0" fontId="15" fillId="3" borderId="30" xfId="0" applyFont="1" applyFill="1" applyBorder="1" applyAlignment="1">
      <alignment horizontal="center" vertical="top"/>
    </xf>
    <xf numFmtId="41" fontId="18" fillId="0" borderId="29" xfId="1" applyNumberFormat="1" applyFont="1" applyFill="1" applyBorder="1" applyAlignment="1">
      <alignment horizontal="right"/>
    </xf>
    <xf numFmtId="0" fontId="15" fillId="0" borderId="30" xfId="0" applyFont="1" applyFill="1" applyBorder="1" applyAlignment="1">
      <alignment horizontal="center" vertical="top"/>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BCDA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12</xdr:col>
      <xdr:colOff>127164</xdr:colOff>
      <xdr:row>40</xdr:row>
      <xdr:rowOff>14349</xdr:rowOff>
    </xdr:from>
    <xdr:to>
      <xdr:col>12</xdr:col>
      <xdr:colOff>984742</xdr:colOff>
      <xdr:row>52</xdr:row>
      <xdr:rowOff>110341</xdr:rowOff>
    </xdr:to>
    <xdr:sp macro="" textlink="">
      <xdr:nvSpPr>
        <xdr:cNvPr id="2" name="Right Brace 1"/>
        <xdr:cNvSpPr/>
      </xdr:nvSpPr>
      <xdr:spPr>
        <a:xfrm>
          <a:off x="13150437" y="8524998"/>
          <a:ext cx="857578" cy="260960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twoCellAnchor>
    <xdr:from>
      <xdr:col>1</xdr:col>
      <xdr:colOff>642938</xdr:colOff>
      <xdr:row>5</xdr:row>
      <xdr:rowOff>35719</xdr:rowOff>
    </xdr:from>
    <xdr:to>
      <xdr:col>2</xdr:col>
      <xdr:colOff>95250</xdr:colOff>
      <xdr:row>6</xdr:row>
      <xdr:rowOff>107156</xdr:rowOff>
    </xdr:to>
    <xdr:sp macro="" textlink="">
      <xdr:nvSpPr>
        <xdr:cNvPr id="3" name="5-Point Star 2"/>
        <xdr:cNvSpPr/>
      </xdr:nvSpPr>
      <xdr:spPr>
        <a:xfrm>
          <a:off x="2559844" y="988219"/>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837457</xdr:colOff>
      <xdr:row>78</xdr:row>
      <xdr:rowOff>102053</xdr:rowOff>
    </xdr:from>
    <xdr:to>
      <xdr:col>11</xdr:col>
      <xdr:colOff>327517</xdr:colOff>
      <xdr:row>82</xdr:row>
      <xdr:rowOff>115661</xdr:rowOff>
    </xdr:to>
    <xdr:sp macro="" textlink="">
      <xdr:nvSpPr>
        <xdr:cNvPr id="5" name="Right Brace 4"/>
        <xdr:cNvSpPr/>
      </xdr:nvSpPr>
      <xdr:spPr>
        <a:xfrm>
          <a:off x="11648332" y="16498661"/>
          <a:ext cx="857578" cy="748393"/>
        </a:xfrm>
        <a:prstGeom prst="rightBrace">
          <a:avLst>
            <a:gd name="adj1" fmla="val 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201385</xdr:colOff>
      <xdr:row>63</xdr:row>
      <xdr:rowOff>157842</xdr:rowOff>
    </xdr:from>
    <xdr:to>
      <xdr:col>12</xdr:col>
      <xdr:colOff>1058963</xdr:colOff>
      <xdr:row>80</xdr:row>
      <xdr:rowOff>16328</xdr:rowOff>
    </xdr:to>
    <xdr:sp macro="" textlink="">
      <xdr:nvSpPr>
        <xdr:cNvPr id="3" name="Right Brace 2"/>
        <xdr:cNvSpPr/>
      </xdr:nvSpPr>
      <xdr:spPr>
        <a:xfrm>
          <a:off x="13242471" y="12905013"/>
          <a:ext cx="857578" cy="266155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twoCellAnchor>
    <xdr:from>
      <xdr:col>1</xdr:col>
      <xdr:colOff>631030</xdr:colOff>
      <xdr:row>5</xdr:row>
      <xdr:rowOff>35718</xdr:rowOff>
    </xdr:from>
    <xdr:to>
      <xdr:col>2</xdr:col>
      <xdr:colOff>83342</xdr:colOff>
      <xdr:row>6</xdr:row>
      <xdr:rowOff>107155</xdr:rowOff>
    </xdr:to>
    <xdr:sp macro="" textlink="">
      <xdr:nvSpPr>
        <xdr:cNvPr id="4" name="5-Point Star 3"/>
        <xdr:cNvSpPr/>
      </xdr:nvSpPr>
      <xdr:spPr>
        <a:xfrm>
          <a:off x="2547936" y="988218"/>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455837</xdr:colOff>
      <xdr:row>95</xdr:row>
      <xdr:rowOff>183695</xdr:rowOff>
    </xdr:from>
    <xdr:to>
      <xdr:col>11</xdr:col>
      <xdr:colOff>81642</xdr:colOff>
      <xdr:row>100</xdr:row>
      <xdr:rowOff>88446</xdr:rowOff>
    </xdr:to>
    <xdr:sp macro="" textlink="">
      <xdr:nvSpPr>
        <xdr:cNvPr id="5" name="Right Brace 4"/>
        <xdr:cNvSpPr/>
      </xdr:nvSpPr>
      <xdr:spPr>
        <a:xfrm>
          <a:off x="11314337" y="19839213"/>
          <a:ext cx="734788" cy="823233"/>
        </a:xfrm>
        <a:prstGeom prst="rightBrace">
          <a:avLst>
            <a:gd name="adj1" fmla="val 26458"/>
            <a:gd name="adj2" fmla="val 5075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201385</xdr:colOff>
      <xdr:row>68</xdr:row>
      <xdr:rowOff>157842</xdr:rowOff>
    </xdr:from>
    <xdr:to>
      <xdr:col>12</xdr:col>
      <xdr:colOff>1058963</xdr:colOff>
      <xdr:row>83</xdr:row>
      <xdr:rowOff>16328</xdr:rowOff>
    </xdr:to>
    <xdr:sp macro="" textlink="">
      <xdr:nvSpPr>
        <xdr:cNvPr id="2" name="Right Brace 1"/>
        <xdr:cNvSpPr/>
      </xdr:nvSpPr>
      <xdr:spPr>
        <a:xfrm>
          <a:off x="13242471" y="12905013"/>
          <a:ext cx="857578" cy="266155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twoCellAnchor>
    <xdr:from>
      <xdr:col>1</xdr:col>
      <xdr:colOff>619116</xdr:colOff>
      <xdr:row>5</xdr:row>
      <xdr:rowOff>35722</xdr:rowOff>
    </xdr:from>
    <xdr:to>
      <xdr:col>2</xdr:col>
      <xdr:colOff>71428</xdr:colOff>
      <xdr:row>6</xdr:row>
      <xdr:rowOff>107159</xdr:rowOff>
    </xdr:to>
    <xdr:sp macro="" textlink="">
      <xdr:nvSpPr>
        <xdr:cNvPr id="3" name="5-Point Star 2"/>
        <xdr:cNvSpPr/>
      </xdr:nvSpPr>
      <xdr:spPr>
        <a:xfrm>
          <a:off x="2536022" y="988222"/>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201385</xdr:colOff>
      <xdr:row>48</xdr:row>
      <xdr:rowOff>157842</xdr:rowOff>
    </xdr:from>
    <xdr:to>
      <xdr:col>12</xdr:col>
      <xdr:colOff>1058963</xdr:colOff>
      <xdr:row>62</xdr:row>
      <xdr:rowOff>16328</xdr:rowOff>
    </xdr:to>
    <xdr:sp macro="" textlink="">
      <xdr:nvSpPr>
        <xdr:cNvPr id="2" name="Right Brace 1"/>
        <xdr:cNvSpPr/>
      </xdr:nvSpPr>
      <xdr:spPr>
        <a:xfrm>
          <a:off x="13242471" y="11402785"/>
          <a:ext cx="857578" cy="264522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p>
      </xdr:txBody>
    </xdr:sp>
    <xdr:clientData/>
  </xdr:twoCellAnchor>
  <xdr:twoCellAnchor>
    <xdr:from>
      <xdr:col>1</xdr:col>
      <xdr:colOff>619128</xdr:colOff>
      <xdr:row>5</xdr:row>
      <xdr:rowOff>35718</xdr:rowOff>
    </xdr:from>
    <xdr:to>
      <xdr:col>2</xdr:col>
      <xdr:colOff>71440</xdr:colOff>
      <xdr:row>6</xdr:row>
      <xdr:rowOff>107155</xdr:rowOff>
    </xdr:to>
    <xdr:sp macro="" textlink="">
      <xdr:nvSpPr>
        <xdr:cNvPr id="3" name="5-Point Star 2"/>
        <xdr:cNvSpPr/>
      </xdr:nvSpPr>
      <xdr:spPr>
        <a:xfrm>
          <a:off x="2536034" y="988218"/>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201385</xdr:colOff>
      <xdr:row>71</xdr:row>
      <xdr:rowOff>157842</xdr:rowOff>
    </xdr:from>
    <xdr:to>
      <xdr:col>12</xdr:col>
      <xdr:colOff>1058963</xdr:colOff>
      <xdr:row>86</xdr:row>
      <xdr:rowOff>16328</xdr:rowOff>
    </xdr:to>
    <xdr:sp macro="" textlink="">
      <xdr:nvSpPr>
        <xdr:cNvPr id="2" name="Right Brace 1"/>
        <xdr:cNvSpPr/>
      </xdr:nvSpPr>
      <xdr:spPr>
        <a:xfrm>
          <a:off x="13242471" y="12905013"/>
          <a:ext cx="857578" cy="266155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twoCellAnchor>
    <xdr:from>
      <xdr:col>1</xdr:col>
      <xdr:colOff>631032</xdr:colOff>
      <xdr:row>5</xdr:row>
      <xdr:rowOff>47624</xdr:rowOff>
    </xdr:from>
    <xdr:to>
      <xdr:col>2</xdr:col>
      <xdr:colOff>83344</xdr:colOff>
      <xdr:row>6</xdr:row>
      <xdr:rowOff>119061</xdr:rowOff>
    </xdr:to>
    <xdr:sp macro="" textlink="">
      <xdr:nvSpPr>
        <xdr:cNvPr id="3" name="5-Point Star 2"/>
        <xdr:cNvSpPr/>
      </xdr:nvSpPr>
      <xdr:spPr>
        <a:xfrm>
          <a:off x="2547938" y="1000124"/>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257175</xdr:colOff>
      <xdr:row>1</xdr:row>
      <xdr:rowOff>38100</xdr:rowOff>
    </xdr:from>
    <xdr:to>
      <xdr:col>0</xdr:col>
      <xdr:colOff>554831</xdr:colOff>
      <xdr:row>2</xdr:row>
      <xdr:rowOff>109537</xdr:rowOff>
    </xdr:to>
    <xdr:sp macro="" textlink="">
      <xdr:nvSpPr>
        <xdr:cNvPr id="4" name="5-Point Star 3"/>
        <xdr:cNvSpPr/>
      </xdr:nvSpPr>
      <xdr:spPr>
        <a:xfrm>
          <a:off x="257175" y="228600"/>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0</xdr:colOff>
      <xdr:row>9</xdr:row>
      <xdr:rowOff>1</xdr:rowOff>
    </xdr:from>
    <xdr:to>
      <xdr:col>8</xdr:col>
      <xdr:colOff>195943</xdr:colOff>
      <xdr:row>19</xdr:row>
      <xdr:rowOff>157843</xdr:rowOff>
    </xdr:to>
    <xdr:pic>
      <xdr:nvPicPr>
        <xdr:cNvPr id="5" name="Picture 4"/>
        <xdr:cNvPicPr>
          <a:picLocks noChangeAspect="1"/>
        </xdr:cNvPicPr>
      </xdr:nvPicPr>
      <xdr:blipFill>
        <a:blip xmlns:r="http://schemas.openxmlformats.org/officeDocument/2006/relationships" r:embed="rId1"/>
        <a:stretch>
          <a:fillRect/>
        </a:stretch>
      </xdr:blipFill>
      <xdr:spPr>
        <a:xfrm>
          <a:off x="653143" y="1676401"/>
          <a:ext cx="7092043" cy="2008413"/>
        </a:xfrm>
        <a:prstGeom prst="rect">
          <a:avLst/>
        </a:prstGeom>
      </xdr:spPr>
    </xdr:pic>
    <xdr:clientData/>
  </xdr:twoCellAnchor>
  <xdr:twoCellAnchor editAs="oneCell">
    <xdr:from>
      <xdr:col>9</xdr:col>
      <xdr:colOff>21771</xdr:colOff>
      <xdr:row>9</xdr:row>
      <xdr:rowOff>0</xdr:rowOff>
    </xdr:from>
    <xdr:to>
      <xdr:col>14</xdr:col>
      <xdr:colOff>54427</xdr:colOff>
      <xdr:row>10</xdr:row>
      <xdr:rowOff>87086</xdr:rowOff>
    </xdr:to>
    <xdr:pic>
      <xdr:nvPicPr>
        <xdr:cNvPr id="6" name="Picture 5"/>
        <xdr:cNvPicPr>
          <a:picLocks noChangeAspect="1"/>
        </xdr:cNvPicPr>
      </xdr:nvPicPr>
      <xdr:blipFill>
        <a:blip xmlns:r="http://schemas.openxmlformats.org/officeDocument/2006/relationships" r:embed="rId2"/>
        <a:stretch>
          <a:fillRect/>
        </a:stretch>
      </xdr:blipFill>
      <xdr:spPr>
        <a:xfrm>
          <a:off x="8224157" y="1676400"/>
          <a:ext cx="5486399" cy="272143"/>
        </a:xfrm>
        <a:prstGeom prst="rect">
          <a:avLst/>
        </a:prstGeom>
      </xdr:spPr>
    </xdr:pic>
    <xdr:clientData/>
  </xdr:twoCellAnchor>
  <xdr:twoCellAnchor editAs="oneCell">
    <xdr:from>
      <xdr:col>9</xdr:col>
      <xdr:colOff>0</xdr:colOff>
      <xdr:row>12</xdr:row>
      <xdr:rowOff>0</xdr:rowOff>
    </xdr:from>
    <xdr:to>
      <xdr:col>14</xdr:col>
      <xdr:colOff>32656</xdr:colOff>
      <xdr:row>20</xdr:row>
      <xdr:rowOff>13517</xdr:rowOff>
    </xdr:to>
    <xdr:pic>
      <xdr:nvPicPr>
        <xdr:cNvPr id="10" name="Picture 9"/>
        <xdr:cNvPicPr>
          <a:picLocks noChangeAspect="1"/>
        </xdr:cNvPicPr>
      </xdr:nvPicPr>
      <xdr:blipFill>
        <a:blip xmlns:r="http://schemas.openxmlformats.org/officeDocument/2006/relationships" r:embed="rId3"/>
        <a:stretch>
          <a:fillRect/>
        </a:stretch>
      </xdr:blipFill>
      <xdr:spPr>
        <a:xfrm>
          <a:off x="8202386" y="2231571"/>
          <a:ext cx="5486399" cy="1493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244926</xdr:colOff>
      <xdr:row>2</xdr:row>
      <xdr:rowOff>38099</xdr:rowOff>
    </xdr:from>
    <xdr:to>
      <xdr:col>2</xdr:col>
      <xdr:colOff>729558</xdr:colOff>
      <xdr:row>7</xdr:row>
      <xdr:rowOff>36792</xdr:rowOff>
    </xdr:to>
    <xdr:sp macro="" textlink="">
      <xdr:nvSpPr>
        <xdr:cNvPr id="2" name="Down Arrow 1"/>
        <xdr:cNvSpPr/>
      </xdr:nvSpPr>
      <xdr:spPr>
        <a:xfrm>
          <a:off x="2111826" y="408213"/>
          <a:ext cx="484632" cy="97840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136075</xdr:colOff>
      <xdr:row>2</xdr:row>
      <xdr:rowOff>16326</xdr:rowOff>
    </xdr:from>
    <xdr:to>
      <xdr:col>20</xdr:col>
      <xdr:colOff>620707</xdr:colOff>
      <xdr:row>7</xdr:row>
      <xdr:rowOff>15019</xdr:rowOff>
    </xdr:to>
    <xdr:sp macro="" textlink="">
      <xdr:nvSpPr>
        <xdr:cNvPr id="4" name="Down Arrow 3"/>
        <xdr:cNvSpPr/>
      </xdr:nvSpPr>
      <xdr:spPr>
        <a:xfrm>
          <a:off x="15272661" y="386440"/>
          <a:ext cx="484632" cy="97840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27215</xdr:colOff>
      <xdr:row>43</xdr:row>
      <xdr:rowOff>0</xdr:rowOff>
    </xdr:from>
    <xdr:to>
      <xdr:col>5</xdr:col>
      <xdr:colOff>442987</xdr:colOff>
      <xdr:row>64</xdr:row>
      <xdr:rowOff>37609</xdr:rowOff>
    </xdr:to>
    <xdr:pic>
      <xdr:nvPicPr>
        <xdr:cNvPr id="2" name="Picture 1"/>
        <xdr:cNvPicPr>
          <a:picLocks noChangeAspect="1"/>
        </xdr:cNvPicPr>
      </xdr:nvPicPr>
      <xdr:blipFill>
        <a:blip xmlns:r="http://schemas.openxmlformats.org/officeDocument/2006/relationships" r:embed="rId1"/>
        <a:stretch>
          <a:fillRect/>
        </a:stretch>
      </xdr:blipFill>
      <xdr:spPr>
        <a:xfrm>
          <a:off x="680358" y="8055429"/>
          <a:ext cx="4857143" cy="39238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rs.wa.gov/administration/annual-report/default.htm" TargetMode="External"/><Relationship Id="rId1" Type="http://schemas.openxmlformats.org/officeDocument/2006/relationships/hyperlink" Target="http://www.drs.wa.gov/employe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tabSelected="1" zoomScaleNormal="100" workbookViewId="0"/>
  </sheetViews>
  <sheetFormatPr defaultRowHeight="14.6" x14ac:dyDescent="0.4"/>
  <cols>
    <col min="1" max="1" width="3.69140625" customWidth="1"/>
    <col min="2" max="2" width="80.69140625" customWidth="1"/>
    <col min="3" max="3" width="3.69140625" customWidth="1"/>
  </cols>
  <sheetData>
    <row r="1" spans="1:4" ht="15" thickBot="1" x14ac:dyDescent="0.45">
      <c r="A1" s="224"/>
      <c r="B1" s="224"/>
      <c r="C1" s="224"/>
    </row>
    <row r="2" spans="1:4" ht="115.2" customHeight="1" thickBot="1" x14ac:dyDescent="0.45">
      <c r="A2" s="224"/>
      <c r="B2" s="245" t="s">
        <v>206</v>
      </c>
      <c r="C2" s="224"/>
    </row>
    <row r="3" spans="1:4" x14ac:dyDescent="0.4">
      <c r="A3" s="224"/>
      <c r="B3" s="225"/>
      <c r="C3" s="224"/>
    </row>
    <row r="4" spans="1:4" ht="15" thickBot="1" x14ac:dyDescent="0.45">
      <c r="B4" s="12"/>
    </row>
    <row r="5" spans="1:4" ht="29.6" thickBot="1" x14ac:dyDescent="0.45">
      <c r="B5" s="241" t="s">
        <v>275</v>
      </c>
    </row>
    <row r="6" spans="1:4" ht="15" thickBot="1" x14ac:dyDescent="0.45">
      <c r="B6" s="251"/>
    </row>
    <row r="7" spans="1:4" ht="40.200000000000003" customHeight="1" thickBot="1" x14ac:dyDescent="0.45">
      <c r="B7" s="268" t="s">
        <v>203</v>
      </c>
    </row>
    <row r="8" spans="1:4" ht="20.149999999999999" customHeight="1" x14ac:dyDescent="0.4">
      <c r="B8" s="247" t="s">
        <v>226</v>
      </c>
      <c r="D8" s="244"/>
    </row>
    <row r="9" spans="1:4" x14ac:dyDescent="0.4">
      <c r="B9" s="246" t="s">
        <v>225</v>
      </c>
      <c r="D9" s="244"/>
    </row>
    <row r="10" spans="1:4" ht="40.200000000000003" customHeight="1" thickBot="1" x14ac:dyDescent="0.45">
      <c r="B10" s="248" t="s">
        <v>227</v>
      </c>
      <c r="D10" s="244"/>
    </row>
    <row r="11" spans="1:4" ht="43.75" x14ac:dyDescent="0.4">
      <c r="B11" s="249" t="s">
        <v>223</v>
      </c>
      <c r="D11" s="244"/>
    </row>
    <row r="12" spans="1:4" x14ac:dyDescent="0.4">
      <c r="B12" s="246" t="s">
        <v>222</v>
      </c>
      <c r="D12" s="244"/>
    </row>
    <row r="13" spans="1:4" ht="85.2" customHeight="1" thickBot="1" x14ac:dyDescent="0.45">
      <c r="B13" s="250" t="s">
        <v>224</v>
      </c>
      <c r="D13" s="244"/>
    </row>
    <row r="14" spans="1:4" ht="75" customHeight="1" thickBot="1" x14ac:dyDescent="0.45">
      <c r="B14" s="245" t="s">
        <v>329</v>
      </c>
      <c r="D14" s="244"/>
    </row>
    <row r="15" spans="1:4" ht="40.200000000000003" customHeight="1" thickBot="1" x14ac:dyDescent="0.45">
      <c r="B15" s="252" t="s">
        <v>251</v>
      </c>
    </row>
    <row r="16" spans="1:4" ht="20.149999999999999" customHeight="1" thickBot="1" x14ac:dyDescent="0.45">
      <c r="B16" s="240" t="s">
        <v>185</v>
      </c>
    </row>
    <row r="17" spans="2:2" ht="20.149999999999999" customHeight="1" thickBot="1" x14ac:dyDescent="0.45">
      <c r="B17" s="252" t="s">
        <v>192</v>
      </c>
    </row>
    <row r="18" spans="2:2" ht="50.15" customHeight="1" thickBot="1" x14ac:dyDescent="0.45">
      <c r="B18" s="150"/>
    </row>
    <row r="19" spans="2:2" ht="20.149999999999999" customHeight="1" x14ac:dyDescent="0.4">
      <c r="B19" s="227" t="s">
        <v>193</v>
      </c>
    </row>
    <row r="20" spans="2:2" ht="90" customHeight="1" thickBot="1" x14ac:dyDescent="0.45">
      <c r="B20" s="242" t="s">
        <v>330</v>
      </c>
    </row>
    <row r="21" spans="2:2" ht="15" thickBot="1" x14ac:dyDescent="0.45">
      <c r="B21" s="12"/>
    </row>
    <row r="22" spans="2:2" ht="20.149999999999999" customHeight="1" x14ac:dyDescent="0.4">
      <c r="B22" s="267" t="s">
        <v>191</v>
      </c>
    </row>
    <row r="23" spans="2:2" ht="55.2" customHeight="1" x14ac:dyDescent="0.4">
      <c r="B23" s="240" t="s">
        <v>186</v>
      </c>
    </row>
    <row r="24" spans="2:2" ht="55.2" customHeight="1" x14ac:dyDescent="0.4">
      <c r="B24" s="240" t="s">
        <v>187</v>
      </c>
    </row>
    <row r="25" spans="2:2" ht="35.15" customHeight="1" thickBot="1" x14ac:dyDescent="0.45">
      <c r="B25" s="242" t="s">
        <v>221</v>
      </c>
    </row>
    <row r="26" spans="2:2" ht="15" thickBot="1" x14ac:dyDescent="0.45">
      <c r="B26" s="150"/>
    </row>
    <row r="27" spans="2:2" ht="20.149999999999999" customHeight="1" x14ac:dyDescent="0.4">
      <c r="B27" s="267" t="s">
        <v>194</v>
      </c>
    </row>
    <row r="28" spans="2:2" ht="70.2" customHeight="1" x14ac:dyDescent="0.4">
      <c r="B28" s="240" t="s">
        <v>276</v>
      </c>
    </row>
    <row r="29" spans="2:2" ht="70.2" customHeight="1" x14ac:dyDescent="0.4">
      <c r="B29" s="240" t="s">
        <v>253</v>
      </c>
    </row>
    <row r="30" spans="2:2" ht="80.150000000000006" customHeight="1" x14ac:dyDescent="0.4">
      <c r="B30" s="243" t="s">
        <v>220</v>
      </c>
    </row>
    <row r="31" spans="2:2" ht="90" customHeight="1" thickBot="1" x14ac:dyDescent="0.45">
      <c r="B31" s="242" t="s">
        <v>252</v>
      </c>
    </row>
    <row r="32" spans="2:2" ht="15" thickBot="1" x14ac:dyDescent="0.45">
      <c r="B32" s="150"/>
    </row>
    <row r="33" spans="2:2" ht="20.149999999999999" customHeight="1" x14ac:dyDescent="0.4">
      <c r="B33" s="267" t="s">
        <v>195</v>
      </c>
    </row>
    <row r="34" spans="2:2" ht="70.2" customHeight="1" thickBot="1" x14ac:dyDescent="0.45">
      <c r="B34" s="242" t="s">
        <v>277</v>
      </c>
    </row>
    <row r="35" spans="2:2" ht="15" thickBot="1" x14ac:dyDescent="0.45">
      <c r="B35" s="150"/>
    </row>
    <row r="36" spans="2:2" ht="20.149999999999999" customHeight="1" x14ac:dyDescent="0.4">
      <c r="B36" s="273" t="s">
        <v>247</v>
      </c>
    </row>
    <row r="37" spans="2:2" ht="40.200000000000003" customHeight="1" thickBot="1" x14ac:dyDescent="0.45">
      <c r="B37" s="242" t="s">
        <v>219</v>
      </c>
    </row>
    <row r="38" spans="2:2" ht="15" thickBot="1" x14ac:dyDescent="0.45">
      <c r="B38" s="269"/>
    </row>
    <row r="39" spans="2:2" x14ac:dyDescent="0.4">
      <c r="B39" s="271" t="s">
        <v>201</v>
      </c>
    </row>
    <row r="40" spans="2:2" ht="109.5" customHeight="1" x14ac:dyDescent="0.4">
      <c r="B40" s="270" t="s">
        <v>230</v>
      </c>
    </row>
    <row r="41" spans="2:2" ht="15" thickBot="1" x14ac:dyDescent="0.45">
      <c r="B41" s="269"/>
    </row>
    <row r="42" spans="2:2" x14ac:dyDescent="0.4">
      <c r="B42" s="271" t="s">
        <v>188</v>
      </c>
    </row>
    <row r="43" spans="2:2" ht="87.9" thickBot="1" x14ac:dyDescent="0.45">
      <c r="B43" s="242" t="s">
        <v>189</v>
      </c>
    </row>
    <row r="44" spans="2:2" ht="15" thickBot="1" x14ac:dyDescent="0.45">
      <c r="B44" s="150"/>
    </row>
    <row r="45" spans="2:2" x14ac:dyDescent="0.4">
      <c r="B45" s="273" t="s">
        <v>248</v>
      </c>
    </row>
    <row r="46" spans="2:2" ht="44.15" thickBot="1" x14ac:dyDescent="0.45">
      <c r="B46" s="242" t="s">
        <v>204</v>
      </c>
    </row>
    <row r="47" spans="2:2" ht="20.149999999999999" customHeight="1" thickBot="1" x14ac:dyDescent="0.45">
      <c r="B47" s="150"/>
    </row>
    <row r="48" spans="2:2" x14ac:dyDescent="0.4">
      <c r="B48" s="273" t="s">
        <v>249</v>
      </c>
    </row>
    <row r="49" spans="2:2" x14ac:dyDescent="0.4">
      <c r="B49" s="228" t="s">
        <v>190</v>
      </c>
    </row>
    <row r="50" spans="2:2" ht="50.05" customHeight="1" x14ac:dyDescent="0.4">
      <c r="B50" s="240" t="s">
        <v>197</v>
      </c>
    </row>
    <row r="51" spans="2:2" ht="75" customHeight="1" x14ac:dyDescent="0.4">
      <c r="B51" s="240" t="s">
        <v>198</v>
      </c>
    </row>
    <row r="52" spans="2:2" ht="35.049999999999997" customHeight="1" thickBot="1" x14ac:dyDescent="0.45">
      <c r="B52" s="242" t="s">
        <v>202</v>
      </c>
    </row>
    <row r="53" spans="2:2" x14ac:dyDescent="0.4">
      <c r="B53" s="150"/>
    </row>
    <row r="54" spans="2:2" x14ac:dyDescent="0.4">
      <c r="B54" s="150"/>
    </row>
  </sheetData>
  <hyperlinks>
    <hyperlink ref="B12" r:id="rId1"/>
    <hyperlink ref="B9" r:id="rId2"/>
  </hyperlinks>
  <printOptions gridLines="1"/>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1"/>
  <sheetViews>
    <sheetView zoomScaleNormal="100" workbookViewId="0"/>
  </sheetViews>
  <sheetFormatPr defaultRowHeight="14.6" x14ac:dyDescent="0.4"/>
  <cols>
    <col min="2" max="5" width="15.69140625" customWidth="1"/>
    <col min="7" max="10" width="15.69140625" customWidth="1"/>
  </cols>
  <sheetData>
    <row r="2" spans="2:10" x14ac:dyDescent="0.4">
      <c r="B2" t="s">
        <v>71</v>
      </c>
    </row>
    <row r="4" spans="2:10" x14ac:dyDescent="0.4">
      <c r="B4" t="s">
        <v>205</v>
      </c>
      <c r="G4" t="s">
        <v>143</v>
      </c>
    </row>
    <row r="5" spans="2:10" x14ac:dyDescent="0.4">
      <c r="B5" t="s">
        <v>327</v>
      </c>
      <c r="G5" t="s">
        <v>144</v>
      </c>
    </row>
    <row r="6" spans="2:10" x14ac:dyDescent="0.4">
      <c r="B6" t="s">
        <v>328</v>
      </c>
      <c r="G6" t="s">
        <v>326</v>
      </c>
    </row>
    <row r="7" spans="2:10" x14ac:dyDescent="0.4">
      <c r="B7" t="s">
        <v>72</v>
      </c>
      <c r="G7" t="s">
        <v>145</v>
      </c>
    </row>
    <row r="8" spans="2:10" x14ac:dyDescent="0.4">
      <c r="B8" t="s">
        <v>73</v>
      </c>
      <c r="G8" t="s">
        <v>146</v>
      </c>
    </row>
    <row r="10" spans="2:10" ht="15" thickBot="1" x14ac:dyDescent="0.45">
      <c r="B10" s="95"/>
    </row>
    <row r="11" spans="2:10" x14ac:dyDescent="0.4">
      <c r="B11" s="76" t="s">
        <v>74</v>
      </c>
      <c r="C11" s="75"/>
      <c r="D11" s="75"/>
      <c r="E11" s="75"/>
      <c r="G11" s="76" t="s">
        <v>74</v>
      </c>
      <c r="H11" s="75"/>
      <c r="I11" s="75"/>
      <c r="J11" s="75"/>
    </row>
    <row r="12" spans="2:10" x14ac:dyDescent="0.4">
      <c r="B12" s="78" t="s">
        <v>75</v>
      </c>
      <c r="C12" s="78" t="s">
        <v>76</v>
      </c>
      <c r="D12" s="78" t="s">
        <v>77</v>
      </c>
      <c r="E12" s="78" t="s">
        <v>78</v>
      </c>
      <c r="G12" s="78" t="s">
        <v>75</v>
      </c>
      <c r="H12" s="78" t="s">
        <v>76</v>
      </c>
      <c r="I12" s="78" t="s">
        <v>77</v>
      </c>
      <c r="J12" s="78" t="s">
        <v>78</v>
      </c>
    </row>
    <row r="13" spans="2:10" ht="15" thickBot="1" x14ac:dyDescent="0.45">
      <c r="B13" s="79" t="s">
        <v>79</v>
      </c>
      <c r="C13" s="127">
        <v>6.4000000000000001E-2</v>
      </c>
      <c r="D13" s="127">
        <v>7.3999999999999996E-2</v>
      </c>
      <c r="E13" s="127">
        <v>8.4000000000000005E-2</v>
      </c>
      <c r="G13" s="79" t="s">
        <v>79</v>
      </c>
      <c r="H13" s="127">
        <v>0.06</v>
      </c>
      <c r="I13" s="127">
        <v>7.0000000000000007E-2</v>
      </c>
      <c r="J13" s="127">
        <v>0.08</v>
      </c>
    </row>
    <row r="14" spans="2:10" x14ac:dyDescent="0.4">
      <c r="C14" s="128"/>
      <c r="D14" s="128"/>
      <c r="E14" s="128"/>
    </row>
    <row r="15" spans="2:10" ht="15" thickBot="1" x14ac:dyDescent="0.45">
      <c r="B15" t="s">
        <v>19</v>
      </c>
      <c r="C15" s="83">
        <v>5488477000</v>
      </c>
      <c r="D15" s="83">
        <v>4466034000</v>
      </c>
      <c r="E15" s="83">
        <v>3580392000</v>
      </c>
      <c r="G15" t="s">
        <v>142</v>
      </c>
      <c r="H15" s="129">
        <v>-30034000</v>
      </c>
      <c r="I15" s="129">
        <v>-52844000</v>
      </c>
      <c r="J15" s="129">
        <v>-73191000</v>
      </c>
    </row>
    <row r="16" spans="2:10" ht="15" thickBot="1" x14ac:dyDescent="0.45">
      <c r="B16" s="122">
        <v>2.3742199999999998E-3</v>
      </c>
      <c r="C16" s="16">
        <f>C15*B16</f>
        <v>13030851.862939999</v>
      </c>
      <c r="D16" s="16">
        <f>D15*B16</f>
        <v>10603347.243479999</v>
      </c>
      <c r="E16" s="16">
        <f>E15*B16</f>
        <v>8500638.2942399997</v>
      </c>
      <c r="G16" s="122"/>
      <c r="H16" s="16">
        <f>H15*G16</f>
        <v>0</v>
      </c>
      <c r="I16" s="16">
        <f>I15*G16</f>
        <v>0</v>
      </c>
      <c r="J16" s="16">
        <f>J15*G16</f>
        <v>0</v>
      </c>
    </row>
    <row r="17" spans="2:5" x14ac:dyDescent="0.4">
      <c r="C17" s="16"/>
      <c r="D17" s="16"/>
      <c r="E17" s="16"/>
    </row>
    <row r="18" spans="2:5" ht="15" thickBot="1" x14ac:dyDescent="0.45">
      <c r="B18" t="s">
        <v>34</v>
      </c>
      <c r="C18" s="83">
        <v>7809738000</v>
      </c>
      <c r="D18" s="83">
        <v>1707411000</v>
      </c>
      <c r="E18" s="129">
        <v>-3295816000</v>
      </c>
    </row>
    <row r="19" spans="2:5" ht="15" thickBot="1" x14ac:dyDescent="0.45">
      <c r="B19" s="122">
        <v>2.8364000000000002E-3</v>
      </c>
      <c r="C19" s="16">
        <f>C18*B19</f>
        <v>22151540.863200001</v>
      </c>
      <c r="D19" s="16">
        <f>D18*B19</f>
        <v>4842900.5604000008</v>
      </c>
      <c r="E19" s="16">
        <f>E18*B19</f>
        <v>-9348252.5024000015</v>
      </c>
    </row>
    <row r="20" spans="2:5" x14ac:dyDescent="0.4">
      <c r="C20" s="16"/>
      <c r="D20" s="16"/>
      <c r="E20" s="16"/>
    </row>
    <row r="21" spans="2:5" ht="15" thickBot="1" x14ac:dyDescent="0.45">
      <c r="B21" t="s">
        <v>80</v>
      </c>
      <c r="C21" s="83">
        <v>1127549000</v>
      </c>
      <c r="D21" s="83">
        <v>299062000</v>
      </c>
      <c r="E21" s="129">
        <v>-383817000</v>
      </c>
    </row>
    <row r="22" spans="2:5" ht="15" thickBot="1" x14ac:dyDescent="0.45">
      <c r="B22" s="130"/>
      <c r="C22" s="16">
        <f>C21*B22</f>
        <v>0</v>
      </c>
      <c r="D22" s="16">
        <f>D21*B22</f>
        <v>0</v>
      </c>
      <c r="E22" s="16">
        <f>E21*B22</f>
        <v>0</v>
      </c>
    </row>
    <row r="23" spans="2:5" x14ac:dyDescent="0.4">
      <c r="C23" s="16"/>
      <c r="D23" s="16"/>
      <c r="E23" s="16"/>
    </row>
    <row r="24" spans="2:5" ht="15" thickBot="1" x14ac:dyDescent="0.45">
      <c r="B24" t="s">
        <v>48</v>
      </c>
      <c r="C24" s="83">
        <v>128719000</v>
      </c>
      <c r="D24" s="129">
        <v>1239000</v>
      </c>
      <c r="E24" s="129">
        <v>-98791000</v>
      </c>
    </row>
    <row r="25" spans="2:5" ht="15" thickBot="1" x14ac:dyDescent="0.45">
      <c r="B25" s="122">
        <v>3.1264299999999999E-3</v>
      </c>
      <c r="C25" s="16">
        <f>C24*B25</f>
        <v>402430.94316999998</v>
      </c>
      <c r="D25" s="16">
        <f>D24*B25</f>
        <v>3873.6467699999998</v>
      </c>
      <c r="E25" s="16">
        <f>E24*B25</f>
        <v>-308863.14613000001</v>
      </c>
    </row>
    <row r="26" spans="2:5" x14ac:dyDescent="0.4">
      <c r="C26" s="16"/>
      <c r="D26" s="16"/>
      <c r="E26" s="16"/>
    </row>
    <row r="27" spans="2:5" ht="15" thickBot="1" x14ac:dyDescent="0.45">
      <c r="B27" t="s">
        <v>81</v>
      </c>
      <c r="C27" s="83">
        <v>3650431000</v>
      </c>
      <c r="D27" s="83">
        <v>2920592000</v>
      </c>
      <c r="E27" s="83">
        <v>2288760000</v>
      </c>
    </row>
    <row r="28" spans="2:5" ht="15" thickBot="1" x14ac:dyDescent="0.45">
      <c r="B28" s="122"/>
      <c r="C28" s="16">
        <f>C27*B28</f>
        <v>0</v>
      </c>
      <c r="D28" s="16">
        <f>D27*B28</f>
        <v>0</v>
      </c>
      <c r="E28" s="16">
        <f>E27*B28</f>
        <v>0</v>
      </c>
    </row>
    <row r="29" spans="2:5" x14ac:dyDescent="0.4">
      <c r="C29" s="16"/>
      <c r="D29" s="16"/>
      <c r="E29" s="16"/>
    </row>
    <row r="30" spans="2:5" ht="15" thickBot="1" x14ac:dyDescent="0.45">
      <c r="B30" t="s">
        <v>82</v>
      </c>
      <c r="C30" s="83">
        <v>2805439000</v>
      </c>
      <c r="D30" s="83">
        <v>450114000</v>
      </c>
      <c r="E30" s="129">
        <v>-1463229000</v>
      </c>
    </row>
    <row r="31" spans="2:5" ht="15" thickBot="1" x14ac:dyDescent="0.45">
      <c r="B31" s="122"/>
      <c r="C31" s="16">
        <f>C30*B31</f>
        <v>0</v>
      </c>
      <c r="D31" s="16">
        <f>D30*B31</f>
        <v>0</v>
      </c>
      <c r="E31" s="16">
        <f>E30*B31</f>
        <v>0</v>
      </c>
    </row>
    <row r="32" spans="2:5" x14ac:dyDescent="0.4">
      <c r="C32" s="16"/>
      <c r="D32" s="16"/>
      <c r="E32" s="16"/>
    </row>
    <row r="33" spans="2:5" ht="15" thickBot="1" x14ac:dyDescent="0.45">
      <c r="B33" t="s">
        <v>36</v>
      </c>
      <c r="C33" s="129">
        <v>-1444267000</v>
      </c>
      <c r="D33" s="129">
        <v>-1815502000</v>
      </c>
      <c r="E33" s="129">
        <v>-2135114000</v>
      </c>
    </row>
    <row r="34" spans="2:5" ht="15" thickBot="1" x14ac:dyDescent="0.45">
      <c r="B34" s="122">
        <v>1.4126799999999999E-3</v>
      </c>
      <c r="C34" s="16">
        <f>C33*B34</f>
        <v>-2040287.1055599998</v>
      </c>
      <c r="D34" s="16">
        <f>D33*B34</f>
        <v>-2564723.3653599997</v>
      </c>
      <c r="E34" s="16">
        <f>E33*B34</f>
        <v>-3016232.84552</v>
      </c>
    </row>
    <row r="35" spans="2:5" x14ac:dyDescent="0.4">
      <c r="C35" s="16"/>
      <c r="D35" s="16"/>
      <c r="E35" s="16"/>
    </row>
    <row r="36" spans="2:5" ht="15" thickBot="1" x14ac:dyDescent="0.45">
      <c r="B36" t="s">
        <v>37</v>
      </c>
      <c r="C36" s="129">
        <v>-269981000</v>
      </c>
      <c r="D36" s="129">
        <v>-2030218000</v>
      </c>
      <c r="E36" s="129">
        <v>-3465896000</v>
      </c>
    </row>
    <row r="37" spans="2:5" ht="15" thickBot="1" x14ac:dyDescent="0.45">
      <c r="B37" s="122">
        <v>5.8659699999999999E-3</v>
      </c>
      <c r="C37" s="16">
        <f>C36*B37</f>
        <v>-1583700.4465699999</v>
      </c>
      <c r="D37" s="16">
        <f>D36*B37</f>
        <v>-11909197.88146</v>
      </c>
      <c r="E37" s="16">
        <f>E36*B37</f>
        <v>-20330841.959119998</v>
      </c>
    </row>
    <row r="40" spans="2:5" x14ac:dyDescent="0.4">
      <c r="B40" s="1" t="s">
        <v>83</v>
      </c>
    </row>
    <row r="41" spans="2:5" x14ac:dyDescent="0.4">
      <c r="B41" s="1" t="s">
        <v>303</v>
      </c>
    </row>
  </sheetData>
  <dataValidations count="2">
    <dataValidation allowBlank="1" showInputMessage="1" showErrorMessage="1" promptTitle="Don't forget PERS 1 UAAL %" prompt="Also, if you have more than one DRS ORG ID number, combine the percentages." sqref="B16"/>
    <dataValidation allowBlank="1" showInputMessage="1" showErrorMessage="1" prompt="If you have more than one DRS ORG ID number, combine the percentages." sqref="B19 B25 B34 B37"/>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zoomScaleNormal="100" workbookViewId="0"/>
  </sheetViews>
  <sheetFormatPr defaultRowHeight="14.6" x14ac:dyDescent="0.4"/>
  <cols>
    <col min="2" max="7" width="10.69140625" customWidth="1"/>
    <col min="8" max="13" width="15.69140625" customWidth="1"/>
    <col min="15" max="15" width="26.69140625" customWidth="1"/>
    <col min="16" max="16" width="20.69140625" customWidth="1"/>
  </cols>
  <sheetData>
    <row r="1" spans="1:16" x14ac:dyDescent="0.4">
      <c r="A1" s="272"/>
      <c r="B1" s="6"/>
      <c r="C1" s="6"/>
      <c r="D1" s="6"/>
      <c r="E1" s="6"/>
      <c r="F1" s="6"/>
      <c r="G1" s="6"/>
      <c r="H1" s="6"/>
      <c r="I1" s="6"/>
      <c r="J1" s="6"/>
      <c r="K1" s="6"/>
    </row>
    <row r="3" spans="1:16" x14ac:dyDescent="0.4">
      <c r="H3" s="69" t="s">
        <v>19</v>
      </c>
      <c r="I3" s="69" t="s">
        <v>34</v>
      </c>
      <c r="J3" s="69" t="s">
        <v>35</v>
      </c>
      <c r="K3" s="69" t="s">
        <v>36</v>
      </c>
      <c r="L3" s="69" t="s">
        <v>37</v>
      </c>
      <c r="M3" s="94" t="s">
        <v>38</v>
      </c>
      <c r="O3" s="331" t="s">
        <v>218</v>
      </c>
    </row>
    <row r="4" spans="1:16" x14ac:dyDescent="0.4">
      <c r="O4" s="362" t="s">
        <v>212</v>
      </c>
      <c r="P4" s="363"/>
    </row>
    <row r="5" spans="1:16" x14ac:dyDescent="0.4">
      <c r="B5" s="1" t="s">
        <v>39</v>
      </c>
      <c r="H5" s="16"/>
      <c r="I5" s="16"/>
      <c r="J5" s="16"/>
      <c r="K5" s="16">
        <f>'1,2,3 - LEOFF_1'!D17</f>
        <v>2564723.3653599997</v>
      </c>
      <c r="L5" s="16">
        <f>'1,2,3 - LEOFF_2'!D17</f>
        <v>11909197.88146</v>
      </c>
      <c r="M5" s="140">
        <f>SUM(H5:L5)</f>
        <v>14473921.246819999</v>
      </c>
      <c r="O5" s="238" t="s">
        <v>213</v>
      </c>
      <c r="P5" s="239">
        <f>M7</f>
        <v>-15450121.450649999</v>
      </c>
    </row>
    <row r="6" spans="1:16" x14ac:dyDescent="0.4">
      <c r="B6" s="1"/>
      <c r="H6" s="16"/>
      <c r="I6" s="16"/>
      <c r="J6" s="16"/>
      <c r="K6" s="16"/>
      <c r="L6" s="16"/>
      <c r="M6" s="16"/>
      <c r="O6" s="238" t="s">
        <v>214</v>
      </c>
      <c r="P6" s="239">
        <f>M5</f>
        <v>14473921.246819999</v>
      </c>
    </row>
    <row r="7" spans="1:16" x14ac:dyDescent="0.4">
      <c r="B7" s="1" t="s">
        <v>40</v>
      </c>
      <c r="H7" s="142">
        <f>'1,2,3 - PERS_1'!D17</f>
        <v>-10603347.243479999</v>
      </c>
      <c r="I7" s="142">
        <f>'1,2,3 - PERS_2-3'!D17</f>
        <v>-4842900.5604000008</v>
      </c>
      <c r="J7" s="142">
        <f>'1,2,3 - PSERS'!D17</f>
        <v>-3873.6467699999998</v>
      </c>
      <c r="K7" s="142"/>
      <c r="L7" s="142"/>
      <c r="M7" s="140">
        <f>SUM(H7:L7)</f>
        <v>-15450121.450649999</v>
      </c>
      <c r="O7" s="238" t="s">
        <v>215</v>
      </c>
      <c r="P7" s="239">
        <f>M15</f>
        <v>4798855.4375344403</v>
      </c>
    </row>
    <row r="8" spans="1:16" x14ac:dyDescent="0.4">
      <c r="H8" s="16"/>
      <c r="I8" s="16"/>
      <c r="J8" s="16"/>
      <c r="K8" s="16"/>
      <c r="L8" s="16"/>
      <c r="M8" s="16"/>
      <c r="O8" s="238" t="s">
        <v>216</v>
      </c>
      <c r="P8" s="239">
        <f>M22</f>
        <v>-11043309.250662258</v>
      </c>
    </row>
    <row r="9" spans="1:16" x14ac:dyDescent="0.4">
      <c r="B9" t="s">
        <v>100</v>
      </c>
      <c r="H9" s="16"/>
      <c r="I9" s="16"/>
      <c r="J9" s="16"/>
      <c r="K9" s="16"/>
      <c r="L9" s="16"/>
      <c r="M9" s="16"/>
      <c r="O9" s="238" t="s">
        <v>217</v>
      </c>
      <c r="P9" s="239">
        <f>M24</f>
        <v>714025.53195177787</v>
      </c>
    </row>
    <row r="10" spans="1:16" x14ac:dyDescent="0.4">
      <c r="B10" t="s">
        <v>31</v>
      </c>
      <c r="H10" s="16">
        <f>'1,2,3 - PERS_1'!E17</f>
        <v>0</v>
      </c>
      <c r="I10" s="16">
        <f>'1,2,3 - PERS_2-3'!E17</f>
        <v>593612.70079440007</v>
      </c>
      <c r="J10" s="16">
        <f>'1,2,3 - PSERS'!E17</f>
        <v>28729.41869387</v>
      </c>
      <c r="K10" s="16">
        <f>'1,2,3 - LEOFF_1'!E17</f>
        <v>0</v>
      </c>
      <c r="L10" s="16">
        <f>'1,2,3 - LEOFF_2'!E17</f>
        <v>637952.45868167002</v>
      </c>
      <c r="M10" s="16">
        <f t="shared" ref="M10:M15" si="0">SUM(H10:L10)</f>
        <v>1260294.57816994</v>
      </c>
    </row>
    <row r="11" spans="1:16" x14ac:dyDescent="0.4">
      <c r="B11" t="s">
        <v>32</v>
      </c>
      <c r="H11" s="16">
        <f>'1,2,3 - PERS_1'!F17</f>
        <v>0</v>
      </c>
      <c r="I11" s="16">
        <f>'1,2,3 - PERS_2-3'!F17</f>
        <v>0</v>
      </c>
      <c r="J11" s="16">
        <f>'1,2,3 - PSERS'!F17</f>
        <v>0</v>
      </c>
      <c r="K11" s="16">
        <f>'1,2,3 - LEOFF_1'!F17</f>
        <v>0</v>
      </c>
      <c r="L11" s="16">
        <f>'1,2,3 - LEOFF_2'!F17</f>
        <v>0</v>
      </c>
      <c r="M11" s="16">
        <f t="shared" si="0"/>
        <v>0</v>
      </c>
    </row>
    <row r="12" spans="1:16" x14ac:dyDescent="0.4">
      <c r="B12" t="s">
        <v>33</v>
      </c>
      <c r="H12" s="16">
        <f>'1,2,3 - PERS_1'!G17</f>
        <v>0</v>
      </c>
      <c r="I12" s="16">
        <f>'1,2,3 - PERS_2-3'!G17</f>
        <v>56653.711847600003</v>
      </c>
      <c r="J12" s="16">
        <f>'1,2,3 - PSERS'!G17</f>
        <v>414.42392864999999</v>
      </c>
      <c r="K12" s="16">
        <f>'1,2,3 - LEOFF_1'!G17</f>
        <v>0</v>
      </c>
      <c r="L12" s="16">
        <f>'1,2,3 - LEOFF_2'!G17</f>
        <v>6741.3487030999995</v>
      </c>
      <c r="M12" s="16">
        <f t="shared" si="0"/>
        <v>63809.484479350001</v>
      </c>
    </row>
    <row r="13" spans="1:16" x14ac:dyDescent="0.4">
      <c r="B13" t="s">
        <v>43</v>
      </c>
      <c r="H13" s="16"/>
      <c r="I13" s="16">
        <f>'1,2,3 - PERS_2-3'!K79</f>
        <v>722418.35285555641</v>
      </c>
      <c r="J13" s="16">
        <f>'1,2,3 - PSERS'!K82</f>
        <v>5817.0220295934969</v>
      </c>
      <c r="K13" s="16"/>
      <c r="L13" s="16">
        <f>'1,2,3 - LEOFF_2'!K85</f>
        <v>196140</v>
      </c>
      <c r="M13" s="16">
        <f t="shared" si="0"/>
        <v>924375.37488514988</v>
      </c>
    </row>
    <row r="14" spans="1:16" x14ac:dyDescent="0.4">
      <c r="B14" t="s">
        <v>44</v>
      </c>
      <c r="H14" s="82">
        <f>'1,2,3 - PERS_1'!D20</f>
        <v>825191</v>
      </c>
      <c r="I14" s="82">
        <f>'1,2,3 - PERS_2-3'!D20</f>
        <v>1152740</v>
      </c>
      <c r="J14" s="82">
        <f>'1,2,3 - PSERS'!D20</f>
        <v>41018</v>
      </c>
      <c r="K14" s="82"/>
      <c r="L14" s="82">
        <f>'1,2,3 - LEOFF_2'!D20</f>
        <v>531427</v>
      </c>
      <c r="M14" s="82">
        <f t="shared" si="0"/>
        <v>2550376</v>
      </c>
    </row>
    <row r="15" spans="1:16" x14ac:dyDescent="0.4">
      <c r="B15" s="1" t="s">
        <v>41</v>
      </c>
      <c r="H15" s="140">
        <f>SUM(H10:H14)</f>
        <v>825191</v>
      </c>
      <c r="I15" s="140">
        <f>SUM(I10:I14)</f>
        <v>2525424.7654975564</v>
      </c>
      <c r="J15" s="140">
        <f>SUM(J10:J14)</f>
        <v>75978.864652113494</v>
      </c>
      <c r="K15" s="140">
        <f>SUM(K10:K14)</f>
        <v>0</v>
      </c>
      <c r="L15" s="140">
        <f>SUM(L10:L14)</f>
        <v>1372260.8073847699</v>
      </c>
      <c r="M15" s="140">
        <f t="shared" si="0"/>
        <v>4798855.4375344403</v>
      </c>
    </row>
    <row r="16" spans="1:16" x14ac:dyDescent="0.4">
      <c r="H16" s="16"/>
      <c r="I16" s="16"/>
      <c r="J16" s="16"/>
      <c r="K16" s="16"/>
      <c r="L16" s="16"/>
      <c r="M16" s="16"/>
    </row>
    <row r="17" spans="2:13" x14ac:dyDescent="0.4">
      <c r="B17" t="s">
        <v>101</v>
      </c>
      <c r="H17" s="16"/>
      <c r="I17" s="16"/>
      <c r="J17" s="16"/>
      <c r="K17" s="16"/>
      <c r="L17" s="16"/>
      <c r="M17" s="16"/>
    </row>
    <row r="18" spans="2:13" x14ac:dyDescent="0.4">
      <c r="B18" t="s">
        <v>31</v>
      </c>
      <c r="H18" s="142">
        <f>'1,2,3 - PERS_1'!I17</f>
        <v>0</v>
      </c>
      <c r="I18" s="142">
        <f>'1,2,3 - PERS_2-3'!I17</f>
        <v>-847902.91564720008</v>
      </c>
      <c r="J18" s="142">
        <f>'1,2,3 - PSERS'!I17</f>
        <v>-3974.2928045599997</v>
      </c>
      <c r="K18" s="142">
        <f>'1,2,3 - LEOFF_1'!I17</f>
        <v>0</v>
      </c>
      <c r="L18" s="142">
        <f>'1,2,3 - LEOFF_2'!I17</f>
        <v>-276532.87728747999</v>
      </c>
      <c r="M18" s="142">
        <f t="shared" ref="M18:M22" si="1">SUM(H18:L18)</f>
        <v>-1128410.0857392401</v>
      </c>
    </row>
    <row r="19" spans="2:13" x14ac:dyDescent="0.4">
      <c r="B19" t="s">
        <v>32</v>
      </c>
      <c r="H19" s="142">
        <f>'1,2,3 - PERS_1'!J17</f>
        <v>-421370.96956345998</v>
      </c>
      <c r="I19" s="142">
        <f>'1,2,3 - PERS_2-3'!J17</f>
        <v>-2971827.9456880004</v>
      </c>
      <c r="J19" s="142">
        <f>'1,2,3 - PSERS'!J17</f>
        <v>-52231.124405449998</v>
      </c>
      <c r="K19" s="142">
        <f>'1,2,3 - LEOFF_1'!J17</f>
        <v>-208218.13034844</v>
      </c>
      <c r="L19" s="142">
        <f>'1,2,3 - LEOFF_2'!J17</f>
        <v>-2084269.8816899299</v>
      </c>
      <c r="M19" s="142">
        <f t="shared" si="1"/>
        <v>-5737918.0516952798</v>
      </c>
    </row>
    <row r="20" spans="2:13" x14ac:dyDescent="0.4">
      <c r="B20" t="s">
        <v>33</v>
      </c>
      <c r="H20" s="142">
        <f>'1,2,3 - PERS_1'!K17</f>
        <v>0</v>
      </c>
      <c r="I20" s="142">
        <f>'1,2,3 - PERS_2-3'!K17</f>
        <v>-1378250.2930672001</v>
      </c>
      <c r="J20" s="142">
        <f>'1,2,3 - PSERS'!K17</f>
        <v>-23971.264233279999</v>
      </c>
      <c r="K20" s="142">
        <f>'1,2,3 - LEOFF_1'!K17</f>
        <v>0</v>
      </c>
      <c r="L20" s="142">
        <f>'1,2,3 - LEOFF_2'!K17</f>
        <v>-1709185.23574821</v>
      </c>
      <c r="M20" s="142">
        <f t="shared" si="1"/>
        <v>-3111406.7930486901</v>
      </c>
    </row>
    <row r="21" spans="2:13" x14ac:dyDescent="0.4">
      <c r="B21" t="s">
        <v>43</v>
      </c>
      <c r="H21" s="143"/>
      <c r="I21" s="82">
        <f>'1,2,3 - PERS_2-3'!L79</f>
        <v>-694523</v>
      </c>
      <c r="J21" s="82">
        <f>'1,2,3 - PSERS'!L82</f>
        <v>-871</v>
      </c>
      <c r="K21" s="143"/>
      <c r="L21" s="143">
        <f>'1,2,3 - LEOFF_2'!L85</f>
        <v>-370180.32017904788</v>
      </c>
      <c r="M21" s="143">
        <f t="shared" si="1"/>
        <v>-1065574.320179048</v>
      </c>
    </row>
    <row r="22" spans="2:13" x14ac:dyDescent="0.4">
      <c r="B22" s="1" t="s">
        <v>42</v>
      </c>
      <c r="H22" s="144">
        <f>SUM(H18:H21)</f>
        <v>-421370.96956345998</v>
      </c>
      <c r="I22" s="144">
        <f>SUM(I18:I21)</f>
        <v>-5892504.1544024004</v>
      </c>
      <c r="J22" s="144">
        <f>SUM(J18:J21)</f>
        <v>-81047.681443289999</v>
      </c>
      <c r="K22" s="144">
        <f>SUM(K18:K21)</f>
        <v>-208218.13034844</v>
      </c>
      <c r="L22" s="144">
        <f>SUM(L18:L21)</f>
        <v>-4440168.3149046674</v>
      </c>
      <c r="M22" s="144">
        <f t="shared" si="1"/>
        <v>-11043309.250662258</v>
      </c>
    </row>
    <row r="23" spans="2:13" x14ac:dyDescent="0.4">
      <c r="H23" s="16"/>
      <c r="I23" s="16"/>
      <c r="J23" s="16"/>
      <c r="K23" s="16"/>
      <c r="L23" s="16"/>
      <c r="M23" s="16"/>
    </row>
    <row r="24" spans="2:13" x14ac:dyDescent="0.4">
      <c r="B24" s="1" t="s">
        <v>45</v>
      </c>
      <c r="H24" s="140">
        <f>'1,2,3 - PERS_1'!B83</f>
        <v>1574367.6019534585</v>
      </c>
      <c r="I24" s="140">
        <f>'1,2,3 - PERS_2-3'!B101</f>
        <v>20190.904104844201</v>
      </c>
      <c r="J24" s="140">
        <f>'1,2,3 - PSERS'!B104</f>
        <v>66366.993451176502</v>
      </c>
      <c r="K24" s="144">
        <f>'1,2,3 - LEOFF_1'!B89</f>
        <v>-482417.22376155993</v>
      </c>
      <c r="L24" s="140">
        <f>'1,2,3 - LEOFF_2'!B115</f>
        <v>-464482.74379614135</v>
      </c>
      <c r="M24" s="140">
        <f t="shared" ref="M24" si="2">SUM(H24:L24)</f>
        <v>714025.53195177787</v>
      </c>
    </row>
  </sheetData>
  <mergeCells count="1">
    <mergeCell ref="O4:P4"/>
  </mergeCells>
  <pageMargins left="0.7" right="0.7" top="0.75" bottom="0.75" header="0.3" footer="0.3"/>
  <pageSetup paperSize="5"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5"/>
  <sheetViews>
    <sheetView zoomScaleNormal="100" workbookViewId="0"/>
  </sheetViews>
  <sheetFormatPr defaultRowHeight="14.6" x14ac:dyDescent="0.4"/>
  <cols>
    <col min="1" max="1" width="28.69140625" customWidth="1"/>
    <col min="2" max="2" width="12.69140625" customWidth="1"/>
    <col min="3" max="3" width="1.69140625" customWidth="1"/>
    <col min="4" max="10" width="15.69140625" customWidth="1"/>
    <col min="11" max="11" width="19.3046875" bestFit="1" customWidth="1"/>
    <col min="12" max="12" width="18" bestFit="1" customWidth="1"/>
    <col min="13" max="13" width="15.69140625" customWidth="1"/>
  </cols>
  <sheetData>
    <row r="1" spans="1:13" x14ac:dyDescent="0.4">
      <c r="A1" s="1"/>
    </row>
    <row r="2" spans="1:13" x14ac:dyDescent="0.4">
      <c r="D2" s="364" t="s">
        <v>278</v>
      </c>
      <c r="E2" s="364"/>
      <c r="F2" s="364"/>
      <c r="G2" s="364"/>
      <c r="H2" s="364"/>
      <c r="I2" s="364"/>
      <c r="J2" s="364"/>
      <c r="K2" s="364"/>
      <c r="L2" s="364"/>
      <c r="M2" s="364"/>
    </row>
    <row r="4" spans="1:13" x14ac:dyDescent="0.4">
      <c r="D4" s="2" t="s">
        <v>90</v>
      </c>
      <c r="E4" s="2"/>
      <c r="F4" s="2"/>
      <c r="G4" s="2"/>
      <c r="H4" s="2"/>
      <c r="I4" s="2"/>
      <c r="J4" s="2"/>
      <c r="K4" s="2"/>
      <c r="L4" s="2"/>
      <c r="M4" s="2"/>
    </row>
    <row r="5" spans="1:13" x14ac:dyDescent="0.4">
      <c r="D5" s="2" t="s">
        <v>279</v>
      </c>
      <c r="E5" s="2"/>
      <c r="F5" s="2"/>
      <c r="G5" s="2"/>
      <c r="H5" s="2"/>
      <c r="I5" s="2"/>
      <c r="J5" s="2"/>
      <c r="K5" s="2"/>
      <c r="L5" s="2"/>
      <c r="M5" s="2"/>
    </row>
    <row r="6" spans="1:13" x14ac:dyDescent="0.4">
      <c r="D6" s="3" t="s">
        <v>280</v>
      </c>
      <c r="E6" s="2"/>
      <c r="F6" s="2"/>
      <c r="G6" s="2"/>
      <c r="H6" s="2"/>
      <c r="I6" s="2"/>
      <c r="J6" s="2"/>
      <c r="K6" s="2"/>
      <c r="L6" s="2"/>
      <c r="M6" s="2"/>
    </row>
    <row r="7" spans="1:13" x14ac:dyDescent="0.4">
      <c r="D7" s="3" t="s">
        <v>281</v>
      </c>
      <c r="E7" s="4"/>
      <c r="F7" s="2"/>
      <c r="G7" s="2"/>
      <c r="H7" s="2"/>
      <c r="I7" s="2"/>
      <c r="J7" s="2"/>
      <c r="K7" s="2"/>
      <c r="L7" s="2"/>
      <c r="M7" s="2"/>
    </row>
    <row r="8" spans="1:13" x14ac:dyDescent="0.4">
      <c r="E8" s="365"/>
      <c r="F8" s="365"/>
      <c r="G8" s="365"/>
      <c r="H8" s="365"/>
      <c r="I8" s="365"/>
      <c r="J8" s="365"/>
      <c r="K8" s="365"/>
      <c r="L8" s="365"/>
      <c r="M8" s="365"/>
    </row>
    <row r="9" spans="1:13" ht="15" thickBot="1" x14ac:dyDescent="0.45">
      <c r="E9" s="365"/>
      <c r="F9" s="365"/>
      <c r="G9" s="365"/>
      <c r="H9" s="365"/>
      <c r="I9" s="365"/>
      <c r="J9" s="365"/>
      <c r="K9" s="365"/>
      <c r="L9" s="365"/>
      <c r="M9" s="365"/>
    </row>
    <row r="10" spans="1:13" ht="15" thickBot="1" x14ac:dyDescent="0.45">
      <c r="B10" s="177" t="s">
        <v>148</v>
      </c>
      <c r="E10" s="366" t="s">
        <v>208</v>
      </c>
      <c r="F10" s="367"/>
      <c r="G10" s="367"/>
      <c r="H10" s="367"/>
      <c r="I10" s="368" t="s">
        <v>13</v>
      </c>
      <c r="J10" s="369"/>
      <c r="K10" s="369"/>
      <c r="L10" s="370"/>
    </row>
    <row r="11" spans="1:13" ht="117" thickBot="1" x14ac:dyDescent="0.45">
      <c r="A11" s="132"/>
      <c r="B11" s="174"/>
      <c r="D11" s="32" t="s">
        <v>103</v>
      </c>
      <c r="E11" s="33" t="s">
        <v>0</v>
      </c>
      <c r="F11" s="33" t="s">
        <v>1</v>
      </c>
      <c r="G11" s="33" t="s">
        <v>2</v>
      </c>
      <c r="H11" s="46" t="s">
        <v>14</v>
      </c>
      <c r="I11" s="35" t="s">
        <v>0</v>
      </c>
      <c r="J11" s="35" t="s">
        <v>1</v>
      </c>
      <c r="K11" s="35" t="s">
        <v>2</v>
      </c>
      <c r="L11" s="67" t="s">
        <v>15</v>
      </c>
      <c r="M11" s="31" t="s">
        <v>3</v>
      </c>
    </row>
    <row r="12" spans="1:13" x14ac:dyDescent="0.4">
      <c r="A12" s="1" t="s">
        <v>282</v>
      </c>
      <c r="D12" s="163">
        <v>-4745078000</v>
      </c>
      <c r="E12" s="70"/>
      <c r="F12" s="284"/>
      <c r="G12" s="70"/>
      <c r="H12" s="71">
        <f>SUM(E12:G12)</f>
        <v>0</v>
      </c>
      <c r="I12" s="39"/>
      <c r="J12" s="40">
        <v>-177073000</v>
      </c>
      <c r="K12" s="39"/>
      <c r="L12" s="41">
        <f>+SUM(I12:K12)</f>
        <v>-177073000</v>
      </c>
      <c r="M12" s="5"/>
    </row>
    <row r="13" spans="1:13" ht="15" thickBot="1" x14ac:dyDescent="0.45">
      <c r="A13" s="176" t="s">
        <v>283</v>
      </c>
      <c r="B13" s="175"/>
      <c r="C13" s="175"/>
      <c r="D13" s="37">
        <v>-4466034000</v>
      </c>
      <c r="E13" s="38"/>
      <c r="F13" s="38"/>
      <c r="G13" s="38"/>
      <c r="H13" s="38">
        <f>SUM(E13:G13)</f>
        <v>0</v>
      </c>
      <c r="I13" s="43"/>
      <c r="J13" s="43">
        <v>-177477643</v>
      </c>
      <c r="K13" s="42"/>
      <c r="L13" s="44">
        <f>+SUM(I13:K13)</f>
        <v>-177477643</v>
      </c>
      <c r="M13" s="34">
        <v>396144749</v>
      </c>
    </row>
    <row r="14" spans="1:13" ht="15" thickTop="1" x14ac:dyDescent="0.4"/>
    <row r="15" spans="1:13" ht="15" thickBot="1" x14ac:dyDescent="0.45">
      <c r="A15" s="15" t="s">
        <v>147</v>
      </c>
    </row>
    <row r="16" spans="1:13" ht="15" thickBot="1" x14ac:dyDescent="0.45">
      <c r="A16" s="6" t="s">
        <v>254</v>
      </c>
      <c r="B16" s="122">
        <v>2.24259E-3</v>
      </c>
      <c r="C16" s="6"/>
      <c r="D16" s="164">
        <f>D12*$B$16</f>
        <v>-10641264.47202</v>
      </c>
      <c r="E16" s="166">
        <f t="shared" ref="E16:L16" si="0">E12*$B$16</f>
        <v>0</v>
      </c>
      <c r="F16" s="166">
        <f t="shared" si="0"/>
        <v>0</v>
      </c>
      <c r="G16" s="166">
        <f t="shared" si="0"/>
        <v>0</v>
      </c>
      <c r="H16" s="167">
        <f t="shared" si="0"/>
        <v>0</v>
      </c>
      <c r="I16" s="170">
        <f t="shared" si="0"/>
        <v>0</v>
      </c>
      <c r="J16" s="170">
        <f t="shared" si="0"/>
        <v>-397102.13907000003</v>
      </c>
      <c r="K16" s="170">
        <f t="shared" si="0"/>
        <v>0</v>
      </c>
      <c r="L16" s="171">
        <f t="shared" si="0"/>
        <v>-397102.13907000003</v>
      </c>
      <c r="M16" s="7"/>
    </row>
    <row r="17" spans="1:13" ht="15" thickBot="1" x14ac:dyDescent="0.45">
      <c r="A17" s="6" t="s">
        <v>284</v>
      </c>
      <c r="B17" s="122">
        <v>2.3742199999999998E-3</v>
      </c>
      <c r="C17" s="6"/>
      <c r="D17" s="165">
        <f>D13*$B$17</f>
        <v>-10603347.243479999</v>
      </c>
      <c r="E17" s="168">
        <f>E13*$B$17</f>
        <v>0</v>
      </c>
      <c r="F17" s="168">
        <f t="shared" ref="F17:M17" si="1">F13*$B$17</f>
        <v>0</v>
      </c>
      <c r="G17" s="168">
        <f t="shared" si="1"/>
        <v>0</v>
      </c>
      <c r="H17" s="169">
        <f t="shared" si="1"/>
        <v>0</v>
      </c>
      <c r="I17" s="172">
        <f t="shared" si="1"/>
        <v>0</v>
      </c>
      <c r="J17" s="172">
        <f t="shared" si="1"/>
        <v>-421370.96956345998</v>
      </c>
      <c r="K17" s="172">
        <f t="shared" si="1"/>
        <v>0</v>
      </c>
      <c r="L17" s="173">
        <f t="shared" si="1"/>
        <v>-421370.96956345998</v>
      </c>
      <c r="M17" s="8">
        <f t="shared" si="1"/>
        <v>940534.78597077995</v>
      </c>
    </row>
    <row r="18" spans="1:13" ht="15" thickBot="1" x14ac:dyDescent="0.45">
      <c r="A18" s="6"/>
      <c r="B18" s="6"/>
      <c r="C18" s="6"/>
      <c r="D18" s="6"/>
      <c r="E18" s="6"/>
    </row>
    <row r="19" spans="1:13" ht="15" thickBot="1" x14ac:dyDescent="0.45">
      <c r="A19" s="6" t="s">
        <v>255</v>
      </c>
      <c r="B19" s="6"/>
      <c r="C19" s="6"/>
      <c r="D19" s="216">
        <v>808207</v>
      </c>
      <c r="E19" s="6"/>
    </row>
    <row r="20" spans="1:13" ht="15" thickBot="1" x14ac:dyDescent="0.45">
      <c r="A20" s="6" t="s">
        <v>285</v>
      </c>
      <c r="B20" s="6"/>
      <c r="C20" s="6"/>
      <c r="D20" s="216">
        <v>825191</v>
      </c>
      <c r="E20" s="6"/>
    </row>
    <row r="21" spans="1:13" x14ac:dyDescent="0.4">
      <c r="A21" s="6"/>
      <c r="B21" s="6"/>
      <c r="C21" s="6"/>
      <c r="D21" s="6"/>
      <c r="E21" s="6"/>
      <c r="H21" s="47"/>
    </row>
    <row r="22" spans="1:13" x14ac:dyDescent="0.4">
      <c r="A22" s="9"/>
      <c r="B22" s="6"/>
      <c r="C22" s="6"/>
      <c r="D22" s="6"/>
      <c r="E22" s="6"/>
      <c r="H22" s="47"/>
    </row>
    <row r="23" spans="1:13" x14ac:dyDescent="0.4">
      <c r="A23" s="1"/>
      <c r="B23" s="6"/>
      <c r="C23" s="6"/>
      <c r="D23" s="10" t="s">
        <v>4</v>
      </c>
      <c r="E23" s="10" t="s">
        <v>5</v>
      </c>
    </row>
    <row r="24" spans="1:13" x14ac:dyDescent="0.4">
      <c r="A24" s="68" t="s">
        <v>65</v>
      </c>
      <c r="B24" s="6"/>
      <c r="C24" s="6"/>
      <c r="D24" s="11"/>
      <c r="E24" s="11"/>
      <c r="F24" s="13"/>
      <c r="G24" s="13"/>
      <c r="H24" s="19"/>
    </row>
    <row r="25" spans="1:13" x14ac:dyDescent="0.4">
      <c r="A25" s="6" t="s">
        <v>289</v>
      </c>
      <c r="B25" s="6"/>
      <c r="C25" s="6"/>
      <c r="D25" s="11">
        <f>-D16</f>
        <v>10641264.47202</v>
      </c>
      <c r="E25" s="11"/>
      <c r="F25" s="14"/>
      <c r="G25" s="14"/>
      <c r="H25" s="19"/>
    </row>
    <row r="26" spans="1:13" x14ac:dyDescent="0.4">
      <c r="A26" s="6" t="s">
        <v>290</v>
      </c>
      <c r="B26" s="6"/>
      <c r="C26" s="6"/>
      <c r="D26" s="11"/>
      <c r="E26" s="11">
        <f>D17</f>
        <v>-10603347.243479999</v>
      </c>
      <c r="F26" s="15"/>
      <c r="G26" s="15"/>
      <c r="H26" s="19"/>
    </row>
    <row r="27" spans="1:13" x14ac:dyDescent="0.4">
      <c r="A27" s="6" t="s">
        <v>291</v>
      </c>
      <c r="D27" s="16"/>
      <c r="E27" s="16">
        <f>L17</f>
        <v>-421370.96956345998</v>
      </c>
      <c r="H27" s="12"/>
    </row>
    <row r="28" spans="1:13" x14ac:dyDescent="0.4">
      <c r="A28" s="45" t="s">
        <v>302</v>
      </c>
      <c r="D28" s="16">
        <f>-J16</f>
        <v>397102.13907000003</v>
      </c>
      <c r="E28" s="16"/>
      <c r="H28" s="48"/>
    </row>
    <row r="29" spans="1:13" x14ac:dyDescent="0.4">
      <c r="A29" t="s">
        <v>292</v>
      </c>
      <c r="D29" s="11">
        <f>D20</f>
        <v>825191</v>
      </c>
      <c r="H29" s="20"/>
    </row>
    <row r="30" spans="1:13" x14ac:dyDescent="0.4">
      <c r="A30" t="s">
        <v>293</v>
      </c>
      <c r="D30" s="11"/>
      <c r="E30" s="16">
        <f>-D19</f>
        <v>-808207</v>
      </c>
      <c r="H30" s="12"/>
    </row>
    <row r="31" spans="1:13" x14ac:dyDescent="0.4">
      <c r="A31" s="6" t="str">
        <f>IF(SUM(D25:E30)&lt;0, "Adjustment to Pension Expense","     Adjustment to Pension Expense")</f>
        <v xml:space="preserve">     Adjustment to Pension Expense</v>
      </c>
      <c r="D31" s="253">
        <f>IF(SUM(D25:E30)&lt;0, SUM(D25:E30)*-1, 0)</f>
        <v>0</v>
      </c>
      <c r="E31" s="253">
        <f>IF(SUM(D25:E30)&lt;0, 0, SUM(D25:E30)*-1)</f>
        <v>-30632.398046541493</v>
      </c>
      <c r="H31" s="12"/>
    </row>
    <row r="32" spans="1:13" x14ac:dyDescent="0.4">
      <c r="H32" s="12"/>
    </row>
    <row r="33" spans="1:14" x14ac:dyDescent="0.4">
      <c r="A33" s="135" t="s">
        <v>93</v>
      </c>
      <c r="H33" s="12"/>
    </row>
    <row r="34" spans="1:14" x14ac:dyDescent="0.4">
      <c r="A34" s="135" t="s">
        <v>94</v>
      </c>
      <c r="H34" s="12"/>
    </row>
    <row r="35" spans="1:14" x14ac:dyDescent="0.4">
      <c r="A35" s="135" t="s">
        <v>95</v>
      </c>
      <c r="H35" s="12"/>
    </row>
    <row r="36" spans="1:14" x14ac:dyDescent="0.4">
      <c r="A36" s="135" t="s">
        <v>96</v>
      </c>
      <c r="D36" s="16"/>
      <c r="E36" s="16"/>
    </row>
    <row r="37" spans="1:14" ht="15" thickBot="1" x14ac:dyDescent="0.45">
      <c r="A37" s="15"/>
      <c r="B37" s="18"/>
      <c r="D37" s="29"/>
      <c r="E37" s="16"/>
    </row>
    <row r="38" spans="1:14" ht="15" thickBot="1" x14ac:dyDescent="0.45">
      <c r="A38" s="387" t="s">
        <v>92</v>
      </c>
      <c r="B38" s="388"/>
      <c r="C38" s="388"/>
      <c r="D38" s="388"/>
      <c r="E38" s="388"/>
      <c r="F38" s="389"/>
      <c r="G38" s="207"/>
      <c r="H38" s="57"/>
      <c r="I38" s="383" t="s">
        <v>58</v>
      </c>
      <c r="J38" s="383"/>
      <c r="K38" s="383"/>
      <c r="L38" s="383"/>
      <c r="M38" s="50"/>
    </row>
    <row r="39" spans="1:14" x14ac:dyDescent="0.4">
      <c r="A39" s="53"/>
      <c r="B39" s="12"/>
      <c r="C39" s="12"/>
      <c r="D39" s="20"/>
      <c r="E39" s="20"/>
      <c r="F39" s="54"/>
      <c r="G39" s="50"/>
      <c r="H39" s="12"/>
      <c r="K39" s="115" t="s">
        <v>18</v>
      </c>
      <c r="L39" s="115" t="s">
        <v>57</v>
      </c>
      <c r="M39" s="102"/>
    </row>
    <row r="40" spans="1:14" ht="15" thickBot="1" x14ac:dyDescent="0.45">
      <c r="A40" s="53"/>
      <c r="B40" s="12"/>
      <c r="C40" s="12"/>
      <c r="D40" s="22" t="s">
        <v>256</v>
      </c>
      <c r="E40" s="210" t="s">
        <v>294</v>
      </c>
      <c r="F40" s="384" t="s">
        <v>173</v>
      </c>
      <c r="G40" s="385"/>
      <c r="H40" s="386"/>
      <c r="K40" s="116" t="s">
        <v>56</v>
      </c>
      <c r="L40" s="116" t="s">
        <v>56</v>
      </c>
      <c r="M40" s="102"/>
    </row>
    <row r="41" spans="1:14" x14ac:dyDescent="0.4">
      <c r="A41" s="53"/>
      <c r="B41" s="12"/>
      <c r="C41" s="12"/>
      <c r="D41" s="23">
        <f>B16</f>
        <v>2.24259E-3</v>
      </c>
      <c r="E41" s="211">
        <f>B17</f>
        <v>2.3742199999999998E-3</v>
      </c>
      <c r="F41" s="384"/>
      <c r="G41" s="385"/>
      <c r="H41" s="386"/>
      <c r="I41" s="371" t="s">
        <v>54</v>
      </c>
      <c r="J41" s="372"/>
      <c r="K41" s="75"/>
      <c r="L41" s="75"/>
      <c r="M41" s="103"/>
    </row>
    <row r="42" spans="1:14" x14ac:dyDescent="0.4">
      <c r="A42" s="53"/>
      <c r="B42" s="12"/>
      <c r="C42" s="12"/>
      <c r="D42" s="12"/>
      <c r="E42" s="12"/>
      <c r="F42" s="54"/>
      <c r="G42" s="50"/>
      <c r="H42" s="12"/>
      <c r="I42" s="373"/>
      <c r="J42" s="374"/>
      <c r="K42" s="118">
        <f>E17</f>
        <v>0</v>
      </c>
      <c r="L42" s="118">
        <f>I17</f>
        <v>0</v>
      </c>
      <c r="M42" s="103"/>
    </row>
    <row r="43" spans="1:14" ht="15" thickBot="1" x14ac:dyDescent="0.45">
      <c r="A43" s="53" t="s">
        <v>7</v>
      </c>
      <c r="B43" s="12"/>
      <c r="C43" s="12"/>
      <c r="D43" s="24">
        <f>D16</f>
        <v>-10641264.47202</v>
      </c>
      <c r="E43" s="88">
        <f>D12*$B$17</f>
        <v>-11265859.089159999</v>
      </c>
      <c r="F43" s="58">
        <f>E43-D43</f>
        <v>-624594.61713999882</v>
      </c>
      <c r="G43" s="208"/>
      <c r="H43" s="26"/>
      <c r="I43" s="110"/>
      <c r="J43" s="111"/>
      <c r="K43" s="80"/>
      <c r="L43" s="80"/>
      <c r="M43" s="131"/>
    </row>
    <row r="44" spans="1:14" x14ac:dyDescent="0.4">
      <c r="A44" s="53"/>
      <c r="B44" s="12"/>
      <c r="C44" s="12"/>
      <c r="D44" s="25"/>
      <c r="E44" s="25"/>
      <c r="F44" s="58"/>
      <c r="G44" s="209"/>
      <c r="H44" s="25"/>
      <c r="I44" s="371" t="s">
        <v>59</v>
      </c>
      <c r="J44" s="372"/>
      <c r="K44" s="75"/>
      <c r="L44" s="75"/>
      <c r="M44" s="88"/>
    </row>
    <row r="45" spans="1:14" x14ac:dyDescent="0.4">
      <c r="A45" s="53" t="s">
        <v>8</v>
      </c>
      <c r="B45" s="12"/>
      <c r="C45" s="12"/>
      <c r="D45" s="25">
        <f>H16</f>
        <v>0</v>
      </c>
      <c r="E45" s="88">
        <f>H12*$B$17</f>
        <v>0</v>
      </c>
      <c r="F45" s="58">
        <f>E45-D45</f>
        <v>0</v>
      </c>
      <c r="G45" s="208"/>
      <c r="H45" s="26"/>
      <c r="I45" s="373"/>
      <c r="J45" s="374"/>
      <c r="K45" s="77"/>
      <c r="L45" s="77"/>
      <c r="M45" s="88"/>
    </row>
    <row r="46" spans="1:14" x14ac:dyDescent="0.4">
      <c r="A46" s="53"/>
      <c r="B46" s="12"/>
      <c r="C46" s="12"/>
      <c r="D46" s="25"/>
      <c r="E46" s="25"/>
      <c r="F46" s="58"/>
      <c r="G46" s="209"/>
      <c r="H46" s="25"/>
      <c r="I46" s="373"/>
      <c r="J46" s="374"/>
      <c r="K46" s="118">
        <f>F17</f>
        <v>0</v>
      </c>
      <c r="L46" s="118">
        <f>J17</f>
        <v>-421370.96956345998</v>
      </c>
      <c r="M46" s="257" t="s">
        <v>238</v>
      </c>
      <c r="N46" s="256">
        <f>SUM(K41:L53)</f>
        <v>-421370.96956345998</v>
      </c>
    </row>
    <row r="47" spans="1:14" ht="15" thickBot="1" x14ac:dyDescent="0.45">
      <c r="A47" s="53" t="s">
        <v>9</v>
      </c>
      <c r="B47" s="12"/>
      <c r="C47" s="12"/>
      <c r="D47" s="24">
        <f>L16</f>
        <v>-397102.13907000003</v>
      </c>
      <c r="E47" s="88">
        <f>L12*$B$17</f>
        <v>-420410.25805999996</v>
      </c>
      <c r="F47" s="60">
        <f>E47-D47</f>
        <v>-23308.11898999993</v>
      </c>
      <c r="G47" s="208"/>
      <c r="H47" s="26"/>
      <c r="I47" s="112"/>
      <c r="J47" s="66"/>
      <c r="K47" s="80"/>
      <c r="L47" s="80"/>
      <c r="M47" s="88"/>
      <c r="N47" s="15" t="s">
        <v>196</v>
      </c>
    </row>
    <row r="48" spans="1:14" ht="15" thickTop="1" x14ac:dyDescent="0.4">
      <c r="A48" s="53"/>
      <c r="B48" s="12"/>
      <c r="C48" s="12"/>
      <c r="D48" s="25"/>
      <c r="E48" s="25"/>
      <c r="F48" s="59"/>
      <c r="G48" s="209"/>
      <c r="H48" s="25"/>
      <c r="I48" s="377" t="s">
        <v>60</v>
      </c>
      <c r="J48" s="378"/>
      <c r="K48" s="120">
        <f>G17</f>
        <v>0</v>
      </c>
      <c r="L48" s="120">
        <f>K17</f>
        <v>0</v>
      </c>
      <c r="M48" s="86"/>
      <c r="N48" s="15" t="s">
        <v>84</v>
      </c>
    </row>
    <row r="49" spans="1:14" ht="15" thickBot="1" x14ac:dyDescent="0.45">
      <c r="A49" s="53" t="s">
        <v>10</v>
      </c>
      <c r="B49" s="12"/>
      <c r="C49" s="12"/>
      <c r="D49" s="25"/>
      <c r="E49" s="25"/>
      <c r="F49" s="60">
        <f>SUM(F43:F48)</f>
        <v>-647902.7361299987</v>
      </c>
      <c r="G49" s="208"/>
      <c r="H49" s="26"/>
      <c r="I49" s="112"/>
      <c r="J49" s="66"/>
      <c r="K49" s="80"/>
      <c r="L49" s="80"/>
      <c r="N49" s="15" t="s">
        <v>85</v>
      </c>
    </row>
    <row r="50" spans="1:14" ht="15" customHeight="1" thickTop="1" x14ac:dyDescent="0.4">
      <c r="A50" s="53"/>
      <c r="B50" s="12"/>
      <c r="C50" s="12"/>
      <c r="D50" s="12"/>
      <c r="E50" s="12"/>
      <c r="F50" s="54"/>
      <c r="G50" s="50"/>
      <c r="H50" s="12"/>
      <c r="I50" s="153"/>
      <c r="J50" s="154"/>
      <c r="K50" s="75"/>
      <c r="L50" s="75"/>
      <c r="N50" s="15" t="s">
        <v>138</v>
      </c>
    </row>
    <row r="51" spans="1:14" ht="40" customHeight="1" thickBot="1" x14ac:dyDescent="0.45">
      <c r="A51" s="381" t="s">
        <v>97</v>
      </c>
      <c r="B51" s="382"/>
      <c r="C51" s="382"/>
      <c r="D51" s="12"/>
      <c r="E51" s="12"/>
      <c r="F51" s="217">
        <f>-F49</f>
        <v>647902.7361299987</v>
      </c>
      <c r="G51" s="208"/>
      <c r="H51" s="26"/>
      <c r="I51" s="379" t="s">
        <v>61</v>
      </c>
      <c r="J51" s="380"/>
      <c r="K51" s="77"/>
      <c r="L51" s="77"/>
    </row>
    <row r="52" spans="1:14" ht="20.05" customHeight="1" thickTop="1" x14ac:dyDescent="0.4">
      <c r="A52" s="53"/>
      <c r="B52" s="12"/>
      <c r="C52" s="12"/>
      <c r="D52" s="12"/>
      <c r="E52" s="12"/>
      <c r="F52" s="54"/>
      <c r="G52" s="50"/>
      <c r="H52" s="12"/>
      <c r="I52" s="379"/>
      <c r="J52" s="380"/>
      <c r="K52" s="77"/>
      <c r="L52" s="77"/>
    </row>
    <row r="53" spans="1:14" ht="15" thickBot="1" x14ac:dyDescent="0.45">
      <c r="A53" s="61" t="s">
        <v>174</v>
      </c>
      <c r="B53" s="12"/>
      <c r="C53" s="12"/>
      <c r="D53" s="12"/>
      <c r="E53" s="12"/>
      <c r="F53" s="58">
        <f>SUM(F49:F52)</f>
        <v>0</v>
      </c>
      <c r="G53" s="208"/>
      <c r="H53" s="26"/>
      <c r="I53" s="155"/>
      <c r="J53" s="156"/>
      <c r="K53" s="117"/>
      <c r="L53" s="77"/>
    </row>
    <row r="54" spans="1:14" ht="14.7" customHeight="1" x14ac:dyDescent="0.4">
      <c r="A54" s="53"/>
      <c r="B54" s="12"/>
      <c r="C54" s="12"/>
      <c r="D54" s="12"/>
      <c r="E54" s="12"/>
      <c r="F54" s="54"/>
      <c r="G54" s="50"/>
      <c r="H54" s="12"/>
      <c r="I54" s="371" t="s">
        <v>62</v>
      </c>
      <c r="J54" s="372"/>
      <c r="K54" s="75"/>
      <c r="L54" s="75"/>
    </row>
    <row r="55" spans="1:14" ht="28.5" customHeight="1" thickBot="1" x14ac:dyDescent="0.45">
      <c r="A55" s="112"/>
      <c r="B55" s="212"/>
      <c r="C55" s="212"/>
      <c r="D55" s="65"/>
      <c r="E55" s="375"/>
      <c r="F55" s="376"/>
      <c r="G55" s="50"/>
      <c r="H55" s="12"/>
      <c r="I55" s="373"/>
      <c r="J55" s="374"/>
      <c r="K55" s="117">
        <f>D20</f>
        <v>825191</v>
      </c>
      <c r="L55" s="77"/>
    </row>
    <row r="56" spans="1:14" ht="14.7" customHeight="1" thickBot="1" x14ac:dyDescent="0.45">
      <c r="A56" s="53"/>
      <c r="B56" s="12"/>
      <c r="C56" s="12"/>
      <c r="D56" s="12"/>
      <c r="E56" s="12"/>
      <c r="F56" s="20"/>
      <c r="G56" s="50"/>
      <c r="H56" s="12"/>
      <c r="I56" s="112"/>
      <c r="J56" s="66"/>
      <c r="K56" s="80"/>
      <c r="L56" s="80"/>
    </row>
    <row r="57" spans="1:14" ht="14.7" customHeight="1" thickBot="1" x14ac:dyDescent="0.45">
      <c r="A57" s="53"/>
      <c r="B57" s="12"/>
      <c r="C57" s="12"/>
      <c r="D57" s="12"/>
      <c r="E57" s="12"/>
      <c r="F57" s="20"/>
      <c r="G57" s="50"/>
      <c r="H57" s="12"/>
      <c r="I57" s="113" t="s">
        <v>63</v>
      </c>
      <c r="J57" s="114"/>
      <c r="K57" s="121">
        <f>SUM(K41:K56)</f>
        <v>825191</v>
      </c>
      <c r="L57" s="121">
        <f>SUM(L41:L56)</f>
        <v>-421370.96956345998</v>
      </c>
    </row>
    <row r="58" spans="1:14" x14ac:dyDescent="0.4">
      <c r="A58" s="53"/>
      <c r="B58" s="12"/>
      <c r="C58" s="12"/>
      <c r="D58" s="12"/>
      <c r="E58" s="12"/>
      <c r="F58" s="20"/>
      <c r="G58" s="50"/>
      <c r="H58" s="12"/>
      <c r="I58" s="150"/>
      <c r="J58" s="150"/>
      <c r="K58" s="12"/>
      <c r="L58" s="12"/>
      <c r="N58" s="15"/>
    </row>
    <row r="59" spans="1:14" ht="15" thickBot="1" x14ac:dyDescent="0.45">
      <c r="A59" s="53"/>
      <c r="B59" s="50"/>
      <c r="C59" s="12"/>
      <c r="D59" s="12"/>
      <c r="E59" s="50"/>
      <c r="F59" s="20"/>
      <c r="G59" s="50"/>
      <c r="H59" s="12"/>
      <c r="I59" s="150"/>
      <c r="J59" s="150"/>
      <c r="K59" s="151"/>
      <c r="L59" s="152"/>
      <c r="N59" s="15"/>
    </row>
    <row r="60" spans="1:14" x14ac:dyDescent="0.4">
      <c r="A60" s="53"/>
      <c r="B60" s="50"/>
      <c r="C60" s="50"/>
      <c r="D60" s="50"/>
      <c r="E60" s="50"/>
      <c r="F60" s="88"/>
      <c r="G60" s="50"/>
      <c r="H60" s="12"/>
      <c r="I60" s="160" t="s">
        <v>139</v>
      </c>
      <c r="J60" s="12"/>
      <c r="K60" s="115" t="s">
        <v>68</v>
      </c>
      <c r="L60" s="115" t="s">
        <v>19</v>
      </c>
      <c r="N60" s="15"/>
    </row>
    <row r="61" spans="1:14" ht="15" thickBot="1" x14ac:dyDescent="0.45">
      <c r="A61" s="62"/>
      <c r="B61" s="51"/>
      <c r="C61" s="52"/>
      <c r="D61" s="52"/>
      <c r="E61" s="51"/>
      <c r="F61" s="133"/>
      <c r="G61" s="50"/>
      <c r="H61" s="12"/>
      <c r="I61" s="12"/>
      <c r="J61" s="12"/>
      <c r="K61" s="124" t="s">
        <v>69</v>
      </c>
      <c r="L61" s="157"/>
      <c r="N61" s="15"/>
    </row>
    <row r="62" spans="1:14" ht="15" thickBot="1" x14ac:dyDescent="0.45">
      <c r="A62" s="62"/>
      <c r="B62" s="28"/>
      <c r="C62" s="27"/>
      <c r="D62" s="27"/>
      <c r="E62" s="28"/>
      <c r="F62" s="12"/>
      <c r="G62" s="50"/>
      <c r="H62" s="12"/>
      <c r="I62" s="12"/>
      <c r="J62" s="12"/>
      <c r="K62" s="158">
        <v>2019</v>
      </c>
      <c r="L62" s="125">
        <f>'6 - Amort - Notes'!T65</f>
        <v>18434.97070346</v>
      </c>
      <c r="N62" s="15"/>
    </row>
    <row r="63" spans="1:14" ht="15" thickBot="1" x14ac:dyDescent="0.45">
      <c r="A63" s="27"/>
      <c r="B63" s="27"/>
      <c r="C63" s="27"/>
      <c r="D63" s="27"/>
      <c r="E63" s="27"/>
      <c r="F63" s="12"/>
      <c r="G63" s="50"/>
      <c r="H63" s="12"/>
      <c r="I63" s="150"/>
      <c r="J63" s="150"/>
      <c r="K63" s="158">
        <v>2020</v>
      </c>
      <c r="L63" s="125">
        <f>'6 - Amort - Notes'!T66</f>
        <v>-92114.063988419992</v>
      </c>
    </row>
    <row r="64" spans="1:14" ht="15" thickBot="1" x14ac:dyDescent="0.45">
      <c r="I64" s="150"/>
      <c r="J64" s="150"/>
      <c r="K64" s="158">
        <v>2021</v>
      </c>
      <c r="L64" s="125">
        <f>'6 - Amort - Notes'!T67</f>
        <v>-276408.57515645999</v>
      </c>
    </row>
    <row r="65" spans="1:12" ht="15" thickBot="1" x14ac:dyDescent="0.45">
      <c r="I65" s="150"/>
      <c r="J65" s="150"/>
      <c r="K65" s="159">
        <v>2022</v>
      </c>
      <c r="L65" s="125">
        <f>'6 - Amort - Notes'!T68</f>
        <v>-71283.301122039993</v>
      </c>
    </row>
    <row r="66" spans="1:12" ht="15" thickBot="1" x14ac:dyDescent="0.45">
      <c r="I66" s="150"/>
      <c r="J66" s="150"/>
      <c r="K66" s="159">
        <v>2023</v>
      </c>
      <c r="L66" s="123"/>
    </row>
    <row r="67" spans="1:12" ht="15" thickBot="1" x14ac:dyDescent="0.45">
      <c r="I67" s="12"/>
      <c r="J67" s="12"/>
      <c r="K67" s="123" t="s">
        <v>137</v>
      </c>
      <c r="L67" s="123"/>
    </row>
    <row r="68" spans="1:12" ht="15" thickBot="1" x14ac:dyDescent="0.45">
      <c r="I68" s="150"/>
      <c r="J68" s="150"/>
      <c r="K68" s="161" t="s">
        <v>63</v>
      </c>
      <c r="L68" s="126">
        <f>SUM(L62:L67)</f>
        <v>-421370.96956345998</v>
      </c>
    </row>
    <row r="69" spans="1:12" x14ac:dyDescent="0.4">
      <c r="A69" s="1" t="s">
        <v>117</v>
      </c>
      <c r="E69" s="6"/>
    </row>
    <row r="70" spans="1:12" x14ac:dyDescent="0.4">
      <c r="A70" s="1"/>
    </row>
    <row r="71" spans="1:12" x14ac:dyDescent="0.4">
      <c r="B71" s="89"/>
      <c r="C71" s="89"/>
      <c r="D71" s="89"/>
      <c r="E71" s="90" t="s">
        <v>86</v>
      </c>
      <c r="F71" s="89"/>
      <c r="G71" s="90" t="s">
        <v>88</v>
      </c>
      <c r="H71" s="89"/>
      <c r="I71" s="90">
        <v>2018</v>
      </c>
      <c r="J71" s="91"/>
    </row>
    <row r="72" spans="1:12" x14ac:dyDescent="0.4">
      <c r="B72" s="92" t="s">
        <v>20</v>
      </c>
      <c r="C72" s="92"/>
      <c r="D72" s="92" t="s">
        <v>21</v>
      </c>
      <c r="E72" s="92" t="s">
        <v>87</v>
      </c>
      <c r="F72" s="92" t="s">
        <v>22</v>
      </c>
      <c r="G72" s="92" t="s">
        <v>89</v>
      </c>
      <c r="H72" s="92" t="s">
        <v>23</v>
      </c>
      <c r="I72" s="92" t="s">
        <v>27</v>
      </c>
      <c r="J72" s="91"/>
    </row>
    <row r="73" spans="1:12" x14ac:dyDescent="0.4">
      <c r="A73" s="84">
        <v>42736</v>
      </c>
      <c r="B73" s="16">
        <f>D16</f>
        <v>-10641264.47202</v>
      </c>
      <c r="C73" s="16"/>
      <c r="D73" s="16">
        <f>H16</f>
        <v>0</v>
      </c>
      <c r="E73" s="16">
        <f>D19</f>
        <v>808207</v>
      </c>
      <c r="F73" s="11">
        <f>L16</f>
        <v>-397102.13907000003</v>
      </c>
      <c r="G73" s="16"/>
      <c r="H73" s="16"/>
      <c r="I73" s="16"/>
      <c r="J73" s="16"/>
    </row>
    <row r="74" spans="1:12" ht="15" thickBot="1" x14ac:dyDescent="0.45">
      <c r="A74" s="84">
        <v>43100</v>
      </c>
      <c r="B74" s="82">
        <f>D17</f>
        <v>-10603347.243479999</v>
      </c>
      <c r="C74" s="82"/>
      <c r="D74" s="82">
        <f>H17</f>
        <v>0</v>
      </c>
      <c r="E74" s="82">
        <f>D20</f>
        <v>825191</v>
      </c>
      <c r="F74" s="82">
        <f>L17</f>
        <v>-421370.96956345998</v>
      </c>
      <c r="G74" s="82"/>
      <c r="H74" s="82"/>
      <c r="I74" s="20"/>
      <c r="J74" s="332" t="s">
        <v>209</v>
      </c>
    </row>
    <row r="75" spans="1:12" ht="15" thickBot="1" x14ac:dyDescent="0.45">
      <c r="A75" s="81" t="s">
        <v>28</v>
      </c>
      <c r="B75" s="11">
        <f>B73-B74</f>
        <v>-37917.228540001437</v>
      </c>
      <c r="C75" s="16"/>
      <c r="D75" s="11">
        <f>D73-D74</f>
        <v>0</v>
      </c>
      <c r="E75" s="11">
        <f>E73-E74</f>
        <v>-16984</v>
      </c>
      <c r="F75" s="11">
        <f>F73-F74</f>
        <v>24268.830493459944</v>
      </c>
      <c r="G75" s="11">
        <f>G73-G74</f>
        <v>0</v>
      </c>
      <c r="H75" s="20">
        <f>SUM(B75:G75)</f>
        <v>-30632.398046541493</v>
      </c>
      <c r="I75" s="226">
        <v>1605000</v>
      </c>
      <c r="J75" s="332" t="s">
        <v>296</v>
      </c>
    </row>
    <row r="76" spans="1:12" x14ac:dyDescent="0.4">
      <c r="J76" s="333" t="s">
        <v>210</v>
      </c>
    </row>
    <row r="77" spans="1:12" x14ac:dyDescent="0.4">
      <c r="A77" s="1"/>
      <c r="B77" s="16">
        <f>B75</f>
        <v>-37917.228540001437</v>
      </c>
      <c r="C77" s="16"/>
      <c r="D77" s="16" t="s">
        <v>239</v>
      </c>
      <c r="G77" s="20"/>
      <c r="H77" s="12"/>
    </row>
    <row r="78" spans="1:12" x14ac:dyDescent="0.4">
      <c r="A78" s="1"/>
      <c r="B78" s="16">
        <f>D75</f>
        <v>0</v>
      </c>
      <c r="D78" t="s">
        <v>240</v>
      </c>
      <c r="G78" s="20"/>
      <c r="H78" s="12"/>
    </row>
    <row r="79" spans="1:12" x14ac:dyDescent="0.4">
      <c r="A79" s="1"/>
      <c r="B79" s="16">
        <f>E75</f>
        <v>-16984</v>
      </c>
      <c r="D79" t="s">
        <v>241</v>
      </c>
      <c r="G79" s="20">
        <f>M17</f>
        <v>940534.78597077995</v>
      </c>
      <c r="H79" s="15" t="s">
        <v>207</v>
      </c>
    </row>
    <row r="80" spans="1:12" x14ac:dyDescent="0.4">
      <c r="B80" s="16">
        <f>F75</f>
        <v>24268.830493459944</v>
      </c>
      <c r="D80" t="s">
        <v>242</v>
      </c>
      <c r="G80" s="285">
        <f>F51</f>
        <v>647902.7361299987</v>
      </c>
      <c r="H80" s="93" t="s">
        <v>24</v>
      </c>
    </row>
    <row r="81" spans="2:12" x14ac:dyDescent="0.4">
      <c r="B81" s="16">
        <f>G75</f>
        <v>0</v>
      </c>
      <c r="D81" t="s">
        <v>120</v>
      </c>
      <c r="G81" s="20">
        <f>-6360488*B17</f>
        <v>-15101.197819359999</v>
      </c>
      <c r="H81" s="15" t="s">
        <v>295</v>
      </c>
      <c r="L81" s="15" t="s">
        <v>258</v>
      </c>
    </row>
    <row r="82" spans="2:12" x14ac:dyDescent="0.4">
      <c r="B82" s="82">
        <f>I75</f>
        <v>1605000</v>
      </c>
      <c r="D82" t="s">
        <v>29</v>
      </c>
      <c r="G82" s="266"/>
      <c r="H82" s="93" t="s">
        <v>257</v>
      </c>
      <c r="L82" s="15" t="s">
        <v>259</v>
      </c>
    </row>
    <row r="83" spans="2:12" ht="15" thickBot="1" x14ac:dyDescent="0.45">
      <c r="B83" s="85">
        <f>SUM(B77:B82)</f>
        <v>1574367.6019534585</v>
      </c>
      <c r="D83" s="15" t="s">
        <v>91</v>
      </c>
      <c r="G83" s="87">
        <f>SUM(G79:G82)</f>
        <v>1573336.3242814187</v>
      </c>
      <c r="H83" s="15" t="s">
        <v>25</v>
      </c>
    </row>
    <row r="84" spans="2:12" ht="15" thickTop="1" x14ac:dyDescent="0.4"/>
    <row r="85" spans="2:12" x14ac:dyDescent="0.4">
      <c r="E85" s="342" t="s">
        <v>297</v>
      </c>
      <c r="F85" s="343">
        <f>B83/G83</f>
        <v>1.0006554718505662</v>
      </c>
    </row>
  </sheetData>
  <mergeCells count="17">
    <mergeCell ref="A51:C51"/>
    <mergeCell ref="I38:L38"/>
    <mergeCell ref="F40:F41"/>
    <mergeCell ref="G40:G41"/>
    <mergeCell ref="H40:H41"/>
    <mergeCell ref="A38:F38"/>
    <mergeCell ref="I54:J55"/>
    <mergeCell ref="E55:F55"/>
    <mergeCell ref="I41:J42"/>
    <mergeCell ref="I44:J46"/>
    <mergeCell ref="I48:J48"/>
    <mergeCell ref="I51:J52"/>
    <mergeCell ref="D2:M2"/>
    <mergeCell ref="E8:M8"/>
    <mergeCell ref="E9:M9"/>
    <mergeCell ref="E10:H10"/>
    <mergeCell ref="I10:L10"/>
  </mergeCells>
  <dataValidations count="1">
    <dataValidation allowBlank="1" showInputMessage="1" showErrorMessage="1" promptTitle="Don't forget PERS 1 UAAL %" prompt="Also, if you have more than one DRS ORG ID number, combine the percentages." sqref="B16:B17"/>
  </dataValidations>
  <pageMargins left="0.7" right="0.7" top="0.75" bottom="0.75" header="0.3" footer="0.3"/>
  <pageSetup paperSize="17" scale="65" orientation="landscape" cellComments="asDisplayed" r:id="rId1"/>
  <ignoredErrors>
    <ignoredError sqref="H12:H13"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Normal="100" workbookViewId="0"/>
  </sheetViews>
  <sheetFormatPr defaultRowHeight="14.6" x14ac:dyDescent="0.4"/>
  <cols>
    <col min="1" max="1" width="28.69140625" customWidth="1"/>
    <col min="2" max="2" width="12.69140625" customWidth="1"/>
    <col min="3" max="3" width="1.69140625" customWidth="1"/>
    <col min="4" max="8" width="15.69140625" customWidth="1"/>
    <col min="9" max="9" width="16.3046875" customWidth="1"/>
    <col min="10" max="18" width="15.69140625" customWidth="1"/>
    <col min="19" max="19" width="10.69140625" bestFit="1" customWidth="1"/>
  </cols>
  <sheetData>
    <row r="1" spans="1:17" x14ac:dyDescent="0.4">
      <c r="A1" s="1"/>
    </row>
    <row r="2" spans="1:17" x14ac:dyDescent="0.4">
      <c r="D2" s="364" t="s">
        <v>278</v>
      </c>
      <c r="E2" s="364"/>
      <c r="F2" s="364"/>
      <c r="G2" s="364"/>
      <c r="H2" s="364"/>
      <c r="I2" s="364"/>
      <c r="J2" s="364"/>
      <c r="K2" s="364"/>
      <c r="L2" s="364"/>
      <c r="M2" s="364"/>
      <c r="N2" s="334"/>
      <c r="O2" s="334"/>
      <c r="P2" s="274"/>
      <c r="Q2" s="274"/>
    </row>
    <row r="4" spans="1:17" x14ac:dyDescent="0.4">
      <c r="D4" s="2" t="s">
        <v>16</v>
      </c>
      <c r="E4" s="2"/>
      <c r="F4" s="2"/>
      <c r="G4" s="2"/>
      <c r="H4" s="2"/>
      <c r="I4" s="2"/>
      <c r="J4" s="2"/>
      <c r="K4" s="2"/>
      <c r="L4" s="2"/>
      <c r="M4" s="2"/>
      <c r="N4" s="2"/>
      <c r="O4" s="2"/>
      <c r="P4" s="2"/>
      <c r="Q4" s="2"/>
    </row>
    <row r="5" spans="1:17" x14ac:dyDescent="0.4">
      <c r="D5" s="2" t="s">
        <v>279</v>
      </c>
      <c r="E5" s="2"/>
      <c r="F5" s="2"/>
      <c r="G5" s="2"/>
      <c r="H5" s="2"/>
      <c r="I5" s="2"/>
      <c r="J5" s="2"/>
      <c r="K5" s="2"/>
      <c r="L5" s="2"/>
      <c r="M5" s="2"/>
      <c r="N5" s="2"/>
      <c r="O5" s="2"/>
      <c r="P5" s="2"/>
      <c r="Q5" s="2"/>
    </row>
    <row r="6" spans="1:17" x14ac:dyDescent="0.4">
      <c r="D6" s="3" t="s">
        <v>280</v>
      </c>
      <c r="E6" s="2"/>
      <c r="F6" s="2"/>
      <c r="G6" s="2"/>
      <c r="H6" s="2"/>
      <c r="I6" s="2"/>
      <c r="J6" s="2"/>
      <c r="K6" s="2"/>
      <c r="L6" s="2"/>
      <c r="M6" s="2"/>
      <c r="N6" s="2"/>
      <c r="O6" s="2"/>
      <c r="P6" s="2"/>
      <c r="Q6" s="2"/>
    </row>
    <row r="7" spans="1:17" x14ac:dyDescent="0.4">
      <c r="D7" s="3" t="s">
        <v>281</v>
      </c>
      <c r="E7" s="4"/>
      <c r="F7" s="2"/>
      <c r="G7" s="2"/>
      <c r="H7" s="2"/>
      <c r="I7" s="2"/>
      <c r="J7" s="2"/>
      <c r="K7" s="2"/>
      <c r="L7" s="2"/>
      <c r="M7" s="2"/>
      <c r="N7" s="2"/>
      <c r="O7" s="2"/>
      <c r="P7" s="2"/>
      <c r="Q7" s="2"/>
    </row>
    <row r="8" spans="1:17" x14ac:dyDescent="0.4">
      <c r="E8" s="365"/>
      <c r="F8" s="365"/>
      <c r="G8" s="365"/>
      <c r="H8" s="365"/>
      <c r="I8" s="365"/>
      <c r="J8" s="365"/>
      <c r="K8" s="365"/>
      <c r="L8" s="365"/>
      <c r="M8" s="365"/>
      <c r="N8" s="335"/>
      <c r="O8" s="335"/>
      <c r="P8" s="275"/>
      <c r="Q8" s="275"/>
    </row>
    <row r="9" spans="1:17" ht="15" thickBot="1" x14ac:dyDescent="0.45">
      <c r="E9" s="365"/>
      <c r="F9" s="365"/>
      <c r="G9" s="365"/>
      <c r="H9" s="365"/>
      <c r="I9" s="365"/>
      <c r="J9" s="365"/>
      <c r="K9" s="365"/>
      <c r="L9" s="365"/>
      <c r="M9" s="365"/>
      <c r="N9" s="335"/>
      <c r="O9" s="335"/>
      <c r="P9" s="275"/>
      <c r="Q9" s="275"/>
    </row>
    <row r="10" spans="1:17" ht="15" thickBot="1" x14ac:dyDescent="0.45">
      <c r="B10" s="177" t="s">
        <v>148</v>
      </c>
      <c r="E10" s="366" t="s">
        <v>208</v>
      </c>
      <c r="F10" s="367"/>
      <c r="G10" s="367"/>
      <c r="H10" s="367"/>
      <c r="I10" s="368" t="s">
        <v>13</v>
      </c>
      <c r="J10" s="369"/>
      <c r="K10" s="369"/>
      <c r="L10" s="370"/>
    </row>
    <row r="11" spans="1:17" ht="117" thickBot="1" x14ac:dyDescent="0.45">
      <c r="A11" s="132"/>
      <c r="D11" s="32" t="s">
        <v>103</v>
      </c>
      <c r="E11" s="33" t="s">
        <v>0</v>
      </c>
      <c r="F11" s="33" t="s">
        <v>1</v>
      </c>
      <c r="G11" s="33" t="s">
        <v>2</v>
      </c>
      <c r="H11" s="46" t="s">
        <v>14</v>
      </c>
      <c r="I11" s="35" t="s">
        <v>0</v>
      </c>
      <c r="J11" s="35" t="s">
        <v>1</v>
      </c>
      <c r="K11" s="35" t="s">
        <v>2</v>
      </c>
      <c r="L11" s="67" t="s">
        <v>15</v>
      </c>
      <c r="M11" s="31" t="s">
        <v>3</v>
      </c>
      <c r="N11" s="276"/>
      <c r="O11" s="276"/>
      <c r="P11" s="276"/>
      <c r="Q11" s="276"/>
    </row>
    <row r="12" spans="1:17" x14ac:dyDescent="0.4">
      <c r="A12" s="1" t="s">
        <v>282</v>
      </c>
      <c r="D12" s="36">
        <v>-3474522000</v>
      </c>
      <c r="E12" s="70">
        <v>352051000</v>
      </c>
      <c r="F12" s="284"/>
      <c r="G12" s="70">
        <v>36906000</v>
      </c>
      <c r="H12" s="71">
        <f>SUM(E12:G12)</f>
        <v>388957000</v>
      </c>
      <c r="I12" s="286">
        <v>-114271000</v>
      </c>
      <c r="J12" s="40">
        <v>-926224000</v>
      </c>
      <c r="K12" s="39"/>
      <c r="L12" s="41">
        <f>+SUM(I12:K12)</f>
        <v>-1040495000</v>
      </c>
      <c r="M12" s="5"/>
      <c r="N12" s="5"/>
      <c r="O12" s="5"/>
      <c r="P12" s="5"/>
      <c r="Q12" s="5"/>
    </row>
    <row r="13" spans="1:17" ht="15" thickBot="1" x14ac:dyDescent="0.45">
      <c r="A13" s="176" t="s">
        <v>283</v>
      </c>
      <c r="B13" s="175"/>
      <c r="C13" s="175"/>
      <c r="D13" s="37">
        <v>-1707411000</v>
      </c>
      <c r="E13" s="38">
        <v>209283846</v>
      </c>
      <c r="F13" s="38"/>
      <c r="G13" s="38">
        <v>19973809</v>
      </c>
      <c r="H13" s="38">
        <f>SUM(E13:G13)</f>
        <v>229257655</v>
      </c>
      <c r="I13" s="43">
        <v>-298936298</v>
      </c>
      <c r="J13" s="43">
        <v>-1047746420</v>
      </c>
      <c r="K13" s="43">
        <v>-485915348</v>
      </c>
      <c r="L13" s="44">
        <f>+SUM(I13:K13)</f>
        <v>-1832598066</v>
      </c>
      <c r="M13" s="34">
        <v>-36784446</v>
      </c>
      <c r="N13" s="277"/>
      <c r="O13" s="277"/>
      <c r="P13" s="277"/>
      <c r="Q13" s="277"/>
    </row>
    <row r="14" spans="1:17" ht="15" thickTop="1" x14ac:dyDescent="0.4"/>
    <row r="15" spans="1:17" ht="15" thickBot="1" x14ac:dyDescent="0.45">
      <c r="A15" s="15" t="s">
        <v>147</v>
      </c>
    </row>
    <row r="16" spans="1:17" ht="15" thickBot="1" x14ac:dyDescent="0.45">
      <c r="A16" s="6" t="s">
        <v>334</v>
      </c>
      <c r="B16" s="122">
        <v>2.68542E-3</v>
      </c>
      <c r="C16" s="6"/>
      <c r="D16" s="164">
        <f>D12*$B$16</f>
        <v>-9330550.8692400008</v>
      </c>
      <c r="E16" s="166">
        <f t="shared" ref="E16:L16" si="0">E12*$B$16</f>
        <v>945404.79642000003</v>
      </c>
      <c r="F16" s="166">
        <f t="shared" si="0"/>
        <v>0</v>
      </c>
      <c r="G16" s="166">
        <f t="shared" si="0"/>
        <v>99108.110520000002</v>
      </c>
      <c r="H16" s="167">
        <f t="shared" si="0"/>
        <v>1044512.90694</v>
      </c>
      <c r="I16" s="170">
        <f t="shared" si="0"/>
        <v>-306865.62881999998</v>
      </c>
      <c r="J16" s="170">
        <f t="shared" si="0"/>
        <v>-2487300.4540800001</v>
      </c>
      <c r="K16" s="170">
        <f t="shared" si="0"/>
        <v>0</v>
      </c>
      <c r="L16" s="171">
        <f t="shared" si="0"/>
        <v>-2794166.0828999998</v>
      </c>
      <c r="M16" s="7"/>
      <c r="N16" s="7"/>
      <c r="O16" s="7"/>
      <c r="P16" s="7"/>
      <c r="Q16" s="7"/>
    </row>
    <row r="17" spans="1:17" ht="15" thickBot="1" x14ac:dyDescent="0.45">
      <c r="A17" s="6" t="s">
        <v>335</v>
      </c>
      <c r="B17" s="122">
        <v>2.8364000000000002E-3</v>
      </c>
      <c r="C17" s="6"/>
      <c r="D17" s="165">
        <f>D13*$B$17</f>
        <v>-4842900.5604000008</v>
      </c>
      <c r="E17" s="168">
        <f>E13*$B$17</f>
        <v>593612.70079440007</v>
      </c>
      <c r="F17" s="168">
        <f t="shared" ref="F17:M17" si="1">F13*$B$17</f>
        <v>0</v>
      </c>
      <c r="G17" s="168">
        <f t="shared" si="1"/>
        <v>56653.711847600003</v>
      </c>
      <c r="H17" s="169">
        <f t="shared" si="1"/>
        <v>650266.41264200001</v>
      </c>
      <c r="I17" s="172">
        <f t="shared" si="1"/>
        <v>-847902.91564720008</v>
      </c>
      <c r="J17" s="172">
        <f t="shared" si="1"/>
        <v>-2971827.9456880004</v>
      </c>
      <c r="K17" s="172">
        <f t="shared" si="1"/>
        <v>-1378250.2930672001</v>
      </c>
      <c r="L17" s="173">
        <f t="shared" si="1"/>
        <v>-5197981.1544024004</v>
      </c>
      <c r="M17" s="8">
        <f t="shared" si="1"/>
        <v>-104335.4026344</v>
      </c>
      <c r="N17" s="8"/>
      <c r="O17" s="8"/>
      <c r="P17" s="8"/>
      <c r="Q17" s="8"/>
    </row>
    <row r="18" spans="1:17" ht="15" thickBot="1" x14ac:dyDescent="0.45">
      <c r="A18" s="6"/>
      <c r="B18" s="6"/>
      <c r="C18" s="6"/>
      <c r="D18" s="6"/>
      <c r="E18" s="6"/>
    </row>
    <row r="19" spans="1:17" ht="15" thickBot="1" x14ac:dyDescent="0.45">
      <c r="A19" s="6" t="s">
        <v>255</v>
      </c>
      <c r="B19" s="6"/>
      <c r="C19" s="6"/>
      <c r="D19" s="216">
        <v>1075081</v>
      </c>
      <c r="E19" s="6"/>
    </row>
    <row r="20" spans="1:17" ht="15" thickBot="1" x14ac:dyDescent="0.45">
      <c r="A20" s="6" t="s">
        <v>285</v>
      </c>
      <c r="B20" s="6"/>
      <c r="C20" s="6"/>
      <c r="D20" s="216">
        <v>1152740</v>
      </c>
      <c r="E20" s="6"/>
    </row>
    <row r="21" spans="1:17" x14ac:dyDescent="0.4">
      <c r="A21" s="6"/>
      <c r="B21" s="6"/>
      <c r="C21" s="6"/>
      <c r="D21" s="6"/>
      <c r="E21" s="6"/>
      <c r="H21" s="47"/>
    </row>
    <row r="22" spans="1:17" x14ac:dyDescent="0.4">
      <c r="A22" s="9"/>
      <c r="B22" s="6"/>
      <c r="C22" s="6"/>
      <c r="D22" s="6"/>
      <c r="E22" s="6"/>
      <c r="H22" s="47"/>
    </row>
    <row r="23" spans="1:17" x14ac:dyDescent="0.4">
      <c r="A23" s="1"/>
      <c r="B23" s="6"/>
      <c r="C23" s="6"/>
      <c r="D23" s="10" t="s">
        <v>4</v>
      </c>
      <c r="E23" s="10" t="s">
        <v>5</v>
      </c>
    </row>
    <row r="24" spans="1:17" x14ac:dyDescent="0.4">
      <c r="A24" s="68" t="s">
        <v>65</v>
      </c>
      <c r="B24" s="6"/>
      <c r="C24" s="6"/>
      <c r="D24" s="11"/>
      <c r="E24" s="11"/>
      <c r="F24" s="13"/>
      <c r="G24" s="13"/>
      <c r="H24" s="19"/>
    </row>
    <row r="25" spans="1:17" x14ac:dyDescent="0.4">
      <c r="A25" s="6" t="s">
        <v>289</v>
      </c>
      <c r="B25" s="6"/>
      <c r="C25" s="6"/>
      <c r="D25" s="11">
        <f>-D16</f>
        <v>9330550.8692400008</v>
      </c>
      <c r="E25" s="11"/>
      <c r="F25" s="14"/>
      <c r="G25" s="14"/>
      <c r="H25" s="19"/>
    </row>
    <row r="26" spans="1:17" x14ac:dyDescent="0.4">
      <c r="A26" s="6" t="s">
        <v>290</v>
      </c>
      <c r="B26" s="6"/>
      <c r="C26" s="6"/>
      <c r="D26" s="11"/>
      <c r="E26" s="11">
        <f>D17</f>
        <v>-4842900.5604000008</v>
      </c>
      <c r="F26" s="15"/>
      <c r="G26" s="15"/>
      <c r="H26" s="19"/>
    </row>
    <row r="27" spans="1:17" x14ac:dyDescent="0.4">
      <c r="A27" s="6" t="s">
        <v>304</v>
      </c>
      <c r="D27" s="16">
        <f>H17</f>
        <v>650266.41264200001</v>
      </c>
      <c r="E27" s="16"/>
      <c r="H27" s="12"/>
    </row>
    <row r="28" spans="1:17" x14ac:dyDescent="0.4">
      <c r="A28" s="45" t="s">
        <v>305</v>
      </c>
      <c r="D28" s="16"/>
      <c r="E28" s="16">
        <f>-H16</f>
        <v>-1044512.90694</v>
      </c>
      <c r="H28" s="12"/>
    </row>
    <row r="29" spans="1:17" x14ac:dyDescent="0.4">
      <c r="A29" s="45" t="s">
        <v>301</v>
      </c>
      <c r="D29" s="16">
        <f>-L16</f>
        <v>2794166.0828999998</v>
      </c>
      <c r="E29" s="16"/>
      <c r="H29" s="48"/>
    </row>
    <row r="30" spans="1:17" x14ac:dyDescent="0.4">
      <c r="A30" s="45" t="s">
        <v>306</v>
      </c>
      <c r="E30" s="16">
        <f>L17</f>
        <v>-5197981.1544024004</v>
      </c>
      <c r="F30" s="15"/>
      <c r="G30" s="15"/>
      <c r="H30" s="17"/>
    </row>
    <row r="31" spans="1:17" x14ac:dyDescent="0.4">
      <c r="A31" t="s">
        <v>292</v>
      </c>
      <c r="D31" s="11">
        <f>D20</f>
        <v>1152740</v>
      </c>
      <c r="H31" s="20"/>
    </row>
    <row r="32" spans="1:17" x14ac:dyDescent="0.4">
      <c r="A32" t="s">
        <v>293</v>
      </c>
      <c r="D32" s="11"/>
      <c r="E32" s="16">
        <f>-D19</f>
        <v>-1075081</v>
      </c>
      <c r="H32" s="12"/>
    </row>
    <row r="33" spans="1:18" x14ac:dyDescent="0.4">
      <c r="A33" s="6" t="str">
        <f>IF(SUM(D25:E32)&lt;0, "Adjustment to Pension Expense","     Adjustment to Pension Expense")</f>
        <v xml:space="preserve">     Adjustment to Pension Expense</v>
      </c>
      <c r="D33" s="253">
        <f>IF(SUM(D25:E32)&lt;0, SUM(D25:E32)*-1, 0)</f>
        <v>0</v>
      </c>
      <c r="E33" s="253">
        <f>IF(SUM(D25:E32)&lt;0, 0, SUM(D25:E32)*-1)</f>
        <v>-1767247.7430395996</v>
      </c>
      <c r="H33" s="12"/>
    </row>
    <row r="34" spans="1:18" x14ac:dyDescent="0.4">
      <c r="H34" s="12"/>
    </row>
    <row r="35" spans="1:18" x14ac:dyDescent="0.4">
      <c r="A35" s="68" t="s">
        <v>64</v>
      </c>
      <c r="D35" s="16"/>
      <c r="E35" s="16"/>
      <c r="H35" s="49"/>
    </row>
    <row r="36" spans="1:18" ht="14.7" customHeight="1" x14ac:dyDescent="0.4">
      <c r="A36" s="390" t="str">
        <f>IF(F61&gt;0, "Deferred Outflows", "Adj. to Pension Expense")</f>
        <v>Deferred Outflows</v>
      </c>
      <c r="B36" s="390"/>
      <c r="D36" s="16">
        <f>IF(F61&gt;0, F61, -F61)</f>
        <v>622952.53880000103</v>
      </c>
      <c r="F36" s="18"/>
      <c r="G36" s="18"/>
      <c r="H36" s="30"/>
    </row>
    <row r="37" spans="1:18" x14ac:dyDescent="0.4">
      <c r="A37" s="21" t="str">
        <f>IF(F61&gt;0,"Adj. to Pension Expense"," Deferred Inflow")</f>
        <v>Adj. to Pension Expense</v>
      </c>
      <c r="D37" s="16"/>
      <c r="E37" s="16">
        <f>IF(F61&gt;0, -F61, F61)</f>
        <v>-622952.53880000103</v>
      </c>
      <c r="F37" s="18"/>
      <c r="G37" s="18"/>
      <c r="H37" s="19"/>
    </row>
    <row r="38" spans="1:18" x14ac:dyDescent="0.4">
      <c r="D38" s="16"/>
      <c r="E38" s="16"/>
      <c r="F38" s="15"/>
      <c r="G38" s="15"/>
      <c r="H38" s="20"/>
    </row>
    <row r="39" spans="1:18" x14ac:dyDescent="0.4">
      <c r="A39" s="68" t="s">
        <v>55</v>
      </c>
      <c r="D39" s="16"/>
      <c r="E39" s="16"/>
      <c r="F39" s="15"/>
      <c r="G39" s="15"/>
      <c r="H39" s="20"/>
    </row>
    <row r="40" spans="1:18" x14ac:dyDescent="0.4">
      <c r="A40" s="6" t="str">
        <f>IF(SUM(D41:E42)&lt;0, "Adjustment to Pension Expense","     Adjustment to Pension Expense")</f>
        <v>Adjustment to Pension Expense</v>
      </c>
      <c r="D40" s="253">
        <f>IF(SUM(D41:E42)&lt;0, SUM(D41:E42)*-1, 0)</f>
        <v>144891.18594444462</v>
      </c>
      <c r="E40" s="253">
        <f>IF(SUM(D41:E42)&lt;0, 0, SUM(D41:E42)*-1)</f>
        <v>0</v>
      </c>
      <c r="F40" s="18"/>
      <c r="G40" s="18"/>
      <c r="H40" s="20"/>
      <c r="J40" s="135"/>
    </row>
    <row r="41" spans="1:18" x14ac:dyDescent="0.4">
      <c r="A41" s="6" t="s">
        <v>57</v>
      </c>
      <c r="D41" s="16">
        <f>-J52-L52-N52-P52</f>
        <v>131042</v>
      </c>
      <c r="E41" s="16"/>
      <c r="F41" s="18"/>
      <c r="G41" s="18"/>
      <c r="H41" s="20"/>
      <c r="J41" s="135"/>
    </row>
    <row r="42" spans="1:18" x14ac:dyDescent="0.4">
      <c r="A42" s="231" t="s">
        <v>231</v>
      </c>
      <c r="D42" s="16"/>
      <c r="E42" s="16">
        <f>-K52-M52-O52-Q52</f>
        <v>-275933.18594444462</v>
      </c>
      <c r="H42" s="12"/>
      <c r="J42" s="135"/>
      <c r="K42" s="135"/>
    </row>
    <row r="43" spans="1:18" x14ac:dyDescent="0.4">
      <c r="D43" s="16"/>
      <c r="E43" s="16"/>
      <c r="J43" s="327" t="s">
        <v>262</v>
      </c>
      <c r="K43" s="291"/>
      <c r="L43" s="291"/>
      <c r="M43" s="291"/>
      <c r="N43" s="291"/>
      <c r="O43" s="291"/>
    </row>
    <row r="44" spans="1:18" ht="15" thickBot="1" x14ac:dyDescent="0.45">
      <c r="A44" s="15"/>
      <c r="B44" s="18"/>
      <c r="D44" s="29"/>
      <c r="E44" s="16"/>
      <c r="J44" s="327" t="s">
        <v>274</v>
      </c>
      <c r="K44" s="291"/>
      <c r="L44" s="290"/>
      <c r="M44" s="291"/>
      <c r="N44" s="291"/>
      <c r="O44" s="291"/>
    </row>
    <row r="45" spans="1:18" ht="15" thickBot="1" x14ac:dyDescent="0.45">
      <c r="A45" s="387" t="s">
        <v>6</v>
      </c>
      <c r="B45" s="388"/>
      <c r="C45" s="388"/>
      <c r="D45" s="388"/>
      <c r="E45" s="388"/>
      <c r="F45" s="389"/>
      <c r="G45" s="207"/>
      <c r="H45" s="57"/>
      <c r="I45" s="391" t="s">
        <v>49</v>
      </c>
      <c r="J45" s="392"/>
      <c r="K45" s="392"/>
      <c r="L45" s="392"/>
      <c r="M45" s="392"/>
      <c r="N45" s="392"/>
      <c r="O45" s="392"/>
      <c r="P45" s="392"/>
      <c r="Q45" s="392"/>
      <c r="R45" s="393"/>
    </row>
    <row r="46" spans="1:18" x14ac:dyDescent="0.4">
      <c r="A46" s="53"/>
      <c r="B46" s="12"/>
      <c r="C46" s="12"/>
      <c r="D46" s="20"/>
      <c r="E46" s="20"/>
      <c r="F46" s="54"/>
      <c r="G46" s="50"/>
      <c r="H46" s="12"/>
      <c r="I46" s="55"/>
      <c r="J46" s="255">
        <v>2015</v>
      </c>
      <c r="K46" s="255">
        <v>2015</v>
      </c>
      <c r="L46" s="255">
        <v>2016</v>
      </c>
      <c r="M46" s="255">
        <v>2016</v>
      </c>
      <c r="N46" s="255">
        <v>2017</v>
      </c>
      <c r="O46" s="255">
        <v>2017</v>
      </c>
      <c r="P46" s="337">
        <v>2018</v>
      </c>
      <c r="Q46" s="337">
        <v>2018</v>
      </c>
      <c r="R46" s="104"/>
    </row>
    <row r="47" spans="1:18" x14ac:dyDescent="0.4">
      <c r="A47" s="53"/>
      <c r="B47" s="12"/>
      <c r="C47" s="12"/>
      <c r="D47" s="22" t="s">
        <v>256</v>
      </c>
      <c r="E47" s="22" t="s">
        <v>294</v>
      </c>
      <c r="F47" s="384" t="s">
        <v>173</v>
      </c>
      <c r="G47" s="385"/>
      <c r="H47" s="386"/>
      <c r="I47" s="55"/>
      <c r="J47" s="255" t="s">
        <v>52</v>
      </c>
      <c r="K47" s="255" t="s">
        <v>52</v>
      </c>
      <c r="L47" s="255" t="s">
        <v>53</v>
      </c>
      <c r="M47" s="255" t="s">
        <v>53</v>
      </c>
      <c r="N47" s="255" t="s">
        <v>260</v>
      </c>
      <c r="O47" s="255" t="s">
        <v>260</v>
      </c>
      <c r="P47" s="337" t="s">
        <v>308</v>
      </c>
      <c r="Q47" s="337" t="s">
        <v>308</v>
      </c>
      <c r="R47" s="104" t="s">
        <v>46</v>
      </c>
    </row>
    <row r="48" spans="1:18" x14ac:dyDescent="0.4">
      <c r="A48" s="53"/>
      <c r="B48" s="12"/>
      <c r="C48" s="12"/>
      <c r="D48" s="23">
        <f>B16</f>
        <v>2.68542E-3</v>
      </c>
      <c r="E48" s="23">
        <f>B17</f>
        <v>2.8364000000000002E-3</v>
      </c>
      <c r="F48" s="384"/>
      <c r="G48" s="385"/>
      <c r="H48" s="386"/>
      <c r="I48" s="105"/>
      <c r="J48" s="235" t="s">
        <v>229</v>
      </c>
      <c r="K48" s="235" t="s">
        <v>50</v>
      </c>
      <c r="L48" s="235" t="s">
        <v>229</v>
      </c>
      <c r="M48" s="235" t="s">
        <v>51</v>
      </c>
      <c r="N48" s="235" t="s">
        <v>261</v>
      </c>
      <c r="O48" s="235" t="s">
        <v>234</v>
      </c>
      <c r="P48" s="96" t="s">
        <v>229</v>
      </c>
      <c r="Q48" s="96" t="s">
        <v>309</v>
      </c>
      <c r="R48" s="106" t="s">
        <v>47</v>
      </c>
    </row>
    <row r="49" spans="1:19" x14ac:dyDescent="0.4">
      <c r="A49" s="53"/>
      <c r="B49" s="12"/>
      <c r="C49" s="12"/>
      <c r="D49" s="12"/>
      <c r="E49" s="12"/>
      <c r="F49" s="54"/>
      <c r="G49" s="50"/>
      <c r="H49" s="12"/>
      <c r="I49" s="105">
        <v>2015</v>
      </c>
      <c r="J49" s="232">
        <v>0</v>
      </c>
      <c r="K49" s="232">
        <v>51634</v>
      </c>
      <c r="L49" s="232"/>
      <c r="M49" s="287"/>
      <c r="N49" s="287"/>
      <c r="O49" s="287"/>
      <c r="P49" s="20"/>
      <c r="Q49" s="20"/>
      <c r="R49" s="254">
        <f>SUM(J49:Q49)</f>
        <v>51634</v>
      </c>
    </row>
    <row r="50" spans="1:19" x14ac:dyDescent="0.4">
      <c r="A50" s="53" t="s">
        <v>7</v>
      </c>
      <c r="B50" s="12"/>
      <c r="C50" s="12"/>
      <c r="D50" s="24">
        <f>D16</f>
        <v>-9330550.8692400008</v>
      </c>
      <c r="E50" s="88">
        <f>D12*$B$17</f>
        <v>-9855134.2008000016</v>
      </c>
      <c r="F50" s="58">
        <f>E50-D50</f>
        <v>-524583.33156000078</v>
      </c>
      <c r="G50" s="208"/>
      <c r="H50" s="26"/>
      <c r="I50" s="105">
        <v>2016</v>
      </c>
      <c r="J50" s="232">
        <v>0</v>
      </c>
      <c r="K50" s="232">
        <v>51634</v>
      </c>
      <c r="L50" s="232">
        <v>0</v>
      </c>
      <c r="M50" s="289">
        <v>137778</v>
      </c>
      <c r="N50" s="289"/>
      <c r="O50" s="289"/>
      <c r="P50" s="20"/>
      <c r="Q50" s="258"/>
      <c r="R50" s="254">
        <f>SUM(J50:Q50)</f>
        <v>189412</v>
      </c>
      <c r="S50" s="131"/>
    </row>
    <row r="51" spans="1:19" x14ac:dyDescent="0.4">
      <c r="A51" s="53"/>
      <c r="B51" s="12"/>
      <c r="C51" s="12"/>
      <c r="D51" s="25"/>
      <c r="E51" s="25"/>
      <c r="F51" s="58"/>
      <c r="G51" s="209"/>
      <c r="H51" s="25"/>
      <c r="I51" s="105">
        <v>2017</v>
      </c>
      <c r="J51" s="232">
        <v>0</v>
      </c>
      <c r="K51" s="232">
        <v>51634</v>
      </c>
      <c r="L51" s="232">
        <v>0</v>
      </c>
      <c r="M51" s="289">
        <v>137778</v>
      </c>
      <c r="N51" s="232">
        <v>-131042</v>
      </c>
      <c r="O51" s="289">
        <v>0</v>
      </c>
      <c r="P51" s="288"/>
      <c r="Q51" s="258"/>
      <c r="R51" s="254">
        <f>SUM(J51:Q51)</f>
        <v>58370</v>
      </c>
      <c r="S51" s="131"/>
    </row>
    <row r="52" spans="1:19" ht="15" thickBot="1" x14ac:dyDescent="0.45">
      <c r="A52" s="53" t="s">
        <v>8</v>
      </c>
      <c r="B52" s="12"/>
      <c r="C52" s="12"/>
      <c r="D52" s="25">
        <f>H16</f>
        <v>1044512.90694</v>
      </c>
      <c r="E52" s="88">
        <f>H12*$B$17</f>
        <v>1103237.6348000001</v>
      </c>
      <c r="F52" s="58">
        <f>E52-D52</f>
        <v>58724.727860000101</v>
      </c>
      <c r="G52" s="208"/>
      <c r="H52" s="26"/>
      <c r="I52" s="105">
        <v>2018</v>
      </c>
      <c r="J52" s="348">
        <v>0</v>
      </c>
      <c r="K52" s="348">
        <v>51634</v>
      </c>
      <c r="L52" s="348">
        <v>0</v>
      </c>
      <c r="M52" s="348">
        <v>137778</v>
      </c>
      <c r="N52" s="352">
        <v>-131042</v>
      </c>
      <c r="O52" s="348">
        <v>0</v>
      </c>
      <c r="P52" s="349">
        <f t="shared" ref="P52:P58" si="2">IF(F66&lt;0, F66, 0)</f>
        <v>0</v>
      </c>
      <c r="Q52" s="350">
        <f t="shared" ref="Q52:Q58" si="3">IF(F66&gt;0, F66, 0)</f>
        <v>86521.185944444587</v>
      </c>
      <c r="R52" s="351">
        <f t="shared" ref="R52:R59" si="4">SUM(J52:Q52)</f>
        <v>144891.18594444459</v>
      </c>
      <c r="S52" s="131" t="s">
        <v>311</v>
      </c>
    </row>
    <row r="53" spans="1:19" x14ac:dyDescent="0.4">
      <c r="A53" s="53"/>
      <c r="B53" s="12"/>
      <c r="C53" s="12"/>
      <c r="D53" s="25"/>
      <c r="E53" s="25"/>
      <c r="F53" s="58"/>
      <c r="G53" s="209"/>
      <c r="H53" s="25"/>
      <c r="I53" s="105">
        <v>2019</v>
      </c>
      <c r="J53" s="233">
        <v>0</v>
      </c>
      <c r="K53" s="233">
        <v>20654</v>
      </c>
      <c r="L53" s="233">
        <v>0</v>
      </c>
      <c r="M53" s="233">
        <v>137778</v>
      </c>
      <c r="N53" s="233">
        <v>-131042</v>
      </c>
      <c r="O53" s="233">
        <v>0</v>
      </c>
      <c r="P53" s="97">
        <f t="shared" si="2"/>
        <v>0</v>
      </c>
      <c r="Q53" s="259">
        <f t="shared" si="3"/>
        <v>86521.185944444587</v>
      </c>
      <c r="R53" s="259">
        <f t="shared" si="4"/>
        <v>113911.18594444459</v>
      </c>
    </row>
    <row r="54" spans="1:19" ht="15" thickBot="1" x14ac:dyDescent="0.45">
      <c r="A54" s="53" t="s">
        <v>9</v>
      </c>
      <c r="B54" s="12"/>
      <c r="C54" s="12"/>
      <c r="D54" s="24">
        <f>L16</f>
        <v>-2794166.0828999998</v>
      </c>
      <c r="E54" s="88">
        <f>L12*$B$17</f>
        <v>-2951260.0180000002</v>
      </c>
      <c r="F54" s="60">
        <f>E54-D54</f>
        <v>-157093.93510000035</v>
      </c>
      <c r="G54" s="208"/>
      <c r="H54" s="26"/>
      <c r="I54" s="105">
        <v>2020</v>
      </c>
      <c r="J54" s="234"/>
      <c r="K54" s="234"/>
      <c r="L54" s="234">
        <v>0</v>
      </c>
      <c r="M54" s="234">
        <v>27555</v>
      </c>
      <c r="N54" s="234">
        <v>-131042</v>
      </c>
      <c r="O54" s="234">
        <v>0</v>
      </c>
      <c r="P54" s="98">
        <f t="shared" si="2"/>
        <v>0</v>
      </c>
      <c r="Q54" s="260">
        <f t="shared" si="3"/>
        <v>86521.185944444587</v>
      </c>
      <c r="R54" s="260">
        <f t="shared" si="4"/>
        <v>-16965.814055555413</v>
      </c>
    </row>
    <row r="55" spans="1:19" ht="15" thickTop="1" x14ac:dyDescent="0.4">
      <c r="A55" s="53"/>
      <c r="B55" s="12"/>
      <c r="C55" s="12"/>
      <c r="D55" s="25"/>
      <c r="E55" s="25"/>
      <c r="F55" s="59"/>
      <c r="G55" s="209"/>
      <c r="H55" s="25"/>
      <c r="I55" s="105">
        <v>2021</v>
      </c>
      <c r="J55" s="234"/>
      <c r="K55" s="234"/>
      <c r="L55" s="344"/>
      <c r="M55" s="234"/>
      <c r="N55" s="234">
        <v>-131042</v>
      </c>
      <c r="O55" s="234">
        <v>0</v>
      </c>
      <c r="P55" s="98">
        <f t="shared" si="2"/>
        <v>0</v>
      </c>
      <c r="Q55" s="260">
        <f t="shared" si="3"/>
        <v>86521.185944444587</v>
      </c>
      <c r="R55" s="260">
        <f t="shared" si="4"/>
        <v>-44520.814055555413</v>
      </c>
    </row>
    <row r="56" spans="1:19" ht="15" thickBot="1" x14ac:dyDescent="0.45">
      <c r="A56" s="53" t="s">
        <v>10</v>
      </c>
      <c r="B56" s="12"/>
      <c r="C56" s="12"/>
      <c r="D56" s="25"/>
      <c r="E56" s="25"/>
      <c r="F56" s="60">
        <f>SUM(F50:F55)</f>
        <v>-622952.53880000103</v>
      </c>
      <c r="G56" s="208"/>
      <c r="H56" s="26"/>
      <c r="I56" s="105">
        <v>2022</v>
      </c>
      <c r="J56" s="345"/>
      <c r="K56" s="345"/>
      <c r="L56" s="345"/>
      <c r="M56" s="345"/>
      <c r="N56" s="234">
        <v>-131042</v>
      </c>
      <c r="O56" s="234">
        <v>0</v>
      </c>
      <c r="P56" s="98">
        <f t="shared" si="2"/>
        <v>0</v>
      </c>
      <c r="Q56" s="260">
        <f t="shared" si="3"/>
        <v>86521.185944444587</v>
      </c>
      <c r="R56" s="260">
        <f t="shared" si="4"/>
        <v>-44520.814055555413</v>
      </c>
    </row>
    <row r="57" spans="1:19" ht="15" thickTop="1" x14ac:dyDescent="0.4">
      <c r="A57" s="53"/>
      <c r="B57" s="12"/>
      <c r="C57" s="12"/>
      <c r="D57" s="25"/>
      <c r="E57" s="25"/>
      <c r="F57" s="58"/>
      <c r="G57" s="208"/>
      <c r="H57" s="26"/>
      <c r="I57" s="105">
        <v>2023</v>
      </c>
      <c r="J57" s="345"/>
      <c r="K57" s="345"/>
      <c r="L57" s="345"/>
      <c r="M57" s="345"/>
      <c r="N57" s="234">
        <v>-131042</v>
      </c>
      <c r="O57" s="234">
        <v>0</v>
      </c>
      <c r="P57" s="98">
        <f t="shared" si="2"/>
        <v>0</v>
      </c>
      <c r="Q57" s="260">
        <f t="shared" si="3"/>
        <v>86521.185944444587</v>
      </c>
      <c r="R57" s="260">
        <f t="shared" si="4"/>
        <v>-44520.814055555413</v>
      </c>
    </row>
    <row r="58" spans="1:19" x14ac:dyDescent="0.4">
      <c r="A58" s="336"/>
      <c r="B58" s="12"/>
      <c r="C58" s="12"/>
      <c r="D58" s="25"/>
      <c r="E58" s="25"/>
      <c r="F58" s="58"/>
      <c r="G58" s="208"/>
      <c r="H58" s="26"/>
      <c r="I58" s="105">
        <v>2024</v>
      </c>
      <c r="J58" s="345"/>
      <c r="K58" s="345"/>
      <c r="L58" s="345"/>
      <c r="M58" s="345"/>
      <c r="N58" s="234">
        <v>-39313</v>
      </c>
      <c r="O58" s="234">
        <v>0</v>
      </c>
      <c r="P58" s="98">
        <f t="shared" si="2"/>
        <v>0</v>
      </c>
      <c r="Q58" s="260">
        <f t="shared" si="3"/>
        <v>86521.185944444587</v>
      </c>
      <c r="R58" s="260">
        <f t="shared" si="4"/>
        <v>47208.185944444587</v>
      </c>
    </row>
    <row r="59" spans="1:19" x14ac:dyDescent="0.4">
      <c r="A59" s="53"/>
      <c r="B59" s="12"/>
      <c r="C59" s="12"/>
      <c r="D59" s="25"/>
      <c r="E59" s="25"/>
      <c r="F59" s="58"/>
      <c r="G59" s="208"/>
      <c r="H59" s="26"/>
      <c r="I59" s="105">
        <v>2025</v>
      </c>
      <c r="J59" s="346"/>
      <c r="K59" s="346"/>
      <c r="L59" s="346"/>
      <c r="M59" s="346"/>
      <c r="N59" s="347"/>
      <c r="O59" s="347"/>
      <c r="P59" s="99">
        <f t="shared" ref="P59" si="5">IF(F73&lt;0, F73, 0)</f>
        <v>0</v>
      </c>
      <c r="Q59" s="261">
        <f t="shared" ref="Q59" si="6">IF(F73&gt;0, F73, 0)</f>
        <v>17304.23718888883</v>
      </c>
      <c r="R59" s="261">
        <f t="shared" si="4"/>
        <v>17304.23718888883</v>
      </c>
    </row>
    <row r="60" spans="1:19" ht="15" thickBot="1" x14ac:dyDescent="0.45">
      <c r="A60" s="53"/>
      <c r="B60" s="12"/>
      <c r="C60" s="12"/>
      <c r="D60" s="12"/>
      <c r="E60" s="12"/>
      <c r="F60" s="54"/>
      <c r="G60" s="50"/>
      <c r="H60" s="12"/>
      <c r="I60" s="108" t="s">
        <v>310</v>
      </c>
      <c r="J60" s="100">
        <f t="shared" ref="J60:R60" si="7">SUM(J53:J59)</f>
        <v>0</v>
      </c>
      <c r="K60" s="100">
        <f t="shared" si="7"/>
        <v>20654</v>
      </c>
      <c r="L60" s="100">
        <f t="shared" si="7"/>
        <v>0</v>
      </c>
      <c r="M60" s="100">
        <f t="shared" si="7"/>
        <v>165333</v>
      </c>
      <c r="N60" s="100">
        <f t="shared" si="7"/>
        <v>-694523</v>
      </c>
      <c r="O60" s="100">
        <f t="shared" si="7"/>
        <v>0</v>
      </c>
      <c r="P60" s="100">
        <f t="shared" si="7"/>
        <v>0</v>
      </c>
      <c r="Q60" s="100">
        <f t="shared" si="7"/>
        <v>536431.35285555641</v>
      </c>
      <c r="R60" s="100">
        <f t="shared" si="7"/>
        <v>27895.352855556353</v>
      </c>
    </row>
    <row r="61" spans="1:19" ht="65.150000000000006" customHeight="1" thickBot="1" x14ac:dyDescent="0.45">
      <c r="A61" s="381" t="s">
        <v>11</v>
      </c>
      <c r="B61" s="382"/>
      <c r="C61" s="382"/>
      <c r="D61" s="12"/>
      <c r="E61" s="12"/>
      <c r="F61" s="217">
        <f>-F56</f>
        <v>622952.53880000103</v>
      </c>
      <c r="G61" s="208"/>
      <c r="H61" s="26"/>
      <c r="I61" s="383" t="s">
        <v>58</v>
      </c>
      <c r="J61" s="383"/>
      <c r="K61" s="383"/>
      <c r="L61" s="383"/>
    </row>
    <row r="62" spans="1:19" ht="15" customHeight="1" thickTop="1" x14ac:dyDescent="0.4">
      <c r="A62" s="53"/>
      <c r="B62" s="12"/>
      <c r="C62" s="12"/>
      <c r="D62" s="12"/>
      <c r="E62" s="12"/>
      <c r="F62" s="54"/>
      <c r="G62" s="50"/>
      <c r="H62" s="12"/>
      <c r="K62" s="115" t="s">
        <v>18</v>
      </c>
      <c r="L62" s="115" t="s">
        <v>57</v>
      </c>
    </row>
    <row r="63" spans="1:19" ht="15" thickBot="1" x14ac:dyDescent="0.45">
      <c r="A63" s="61" t="s">
        <v>174</v>
      </c>
      <c r="B63" s="12"/>
      <c r="C63" s="12"/>
      <c r="D63" s="12"/>
      <c r="E63" s="12"/>
      <c r="F63" s="58">
        <f>SUM(F56:F62)</f>
        <v>0</v>
      </c>
      <c r="G63" s="208"/>
      <c r="H63" s="26"/>
      <c r="K63" s="116" t="s">
        <v>56</v>
      </c>
      <c r="L63" s="116" t="s">
        <v>56</v>
      </c>
    </row>
    <row r="64" spans="1:19" ht="15" thickBot="1" x14ac:dyDescent="0.45">
      <c r="A64" s="53"/>
      <c r="B64" s="12"/>
      <c r="C64" s="12"/>
      <c r="D64" s="12"/>
      <c r="E64" s="12"/>
      <c r="F64" s="54"/>
      <c r="G64" s="50"/>
      <c r="H64" s="12"/>
      <c r="I64" s="371" t="s">
        <v>54</v>
      </c>
      <c r="J64" s="372"/>
      <c r="K64" s="75"/>
      <c r="L64" s="75"/>
    </row>
    <row r="65" spans="1:18" ht="28.5" customHeight="1" thickBot="1" x14ac:dyDescent="0.45">
      <c r="A65" s="213" t="s">
        <v>180</v>
      </c>
      <c r="B65" s="48"/>
      <c r="C65" s="48"/>
      <c r="D65" s="215" t="s">
        <v>181</v>
      </c>
      <c r="E65" s="394" t="s">
        <v>307</v>
      </c>
      <c r="F65" s="395"/>
      <c r="G65" s="50"/>
      <c r="H65" s="12"/>
      <c r="I65" s="373"/>
      <c r="J65" s="374"/>
      <c r="K65" s="117">
        <f>E17</f>
        <v>593612.70079440007</v>
      </c>
      <c r="L65" s="117">
        <f>I17</f>
        <v>-847902.91564720008</v>
      </c>
    </row>
    <row r="66" spans="1:18" ht="14.7" customHeight="1" thickBot="1" x14ac:dyDescent="0.45">
      <c r="A66" s="213" t="s">
        <v>175</v>
      </c>
      <c r="B66" s="12"/>
      <c r="C66" s="12"/>
      <c r="D66" s="12"/>
      <c r="E66" s="200">
        <v>2018</v>
      </c>
      <c r="F66" s="72">
        <f>F61/7.2</f>
        <v>86521.185944444587</v>
      </c>
      <c r="G66" s="50"/>
      <c r="H66" s="12"/>
      <c r="I66" s="280"/>
      <c r="J66" s="281"/>
      <c r="K66" s="77"/>
      <c r="L66" s="77"/>
    </row>
    <row r="67" spans="1:18" x14ac:dyDescent="0.4">
      <c r="A67" s="213" t="s">
        <v>176</v>
      </c>
      <c r="B67" s="12"/>
      <c r="C67" s="12"/>
      <c r="D67" s="12"/>
      <c r="E67" s="53">
        <v>2019</v>
      </c>
      <c r="F67" s="73">
        <f>F61/7.2</f>
        <v>86521.185944444587</v>
      </c>
      <c r="G67" s="50"/>
      <c r="H67" s="12"/>
      <c r="I67" s="371" t="s">
        <v>59</v>
      </c>
      <c r="J67" s="372"/>
      <c r="K67" s="75"/>
      <c r="L67" s="283"/>
    </row>
    <row r="68" spans="1:18" x14ac:dyDescent="0.4">
      <c r="A68" s="213"/>
      <c r="B68" s="12"/>
      <c r="C68" s="12"/>
      <c r="D68" s="12"/>
      <c r="E68" s="53">
        <v>2020</v>
      </c>
      <c r="F68" s="73">
        <f>F61/7.2</f>
        <v>86521.185944444587</v>
      </c>
      <c r="G68" s="50"/>
      <c r="H68" s="12"/>
      <c r="I68" s="373"/>
      <c r="J68" s="374"/>
      <c r="K68" s="77"/>
      <c r="L68" s="54"/>
      <c r="M68" s="257" t="s">
        <v>238</v>
      </c>
      <c r="N68" s="256">
        <f>SUM(K64:L80)</f>
        <v>-4519819.3889048444</v>
      </c>
      <c r="O68" s="257"/>
      <c r="P68" s="256"/>
      <c r="Q68" s="257"/>
      <c r="R68" s="256"/>
    </row>
    <row r="69" spans="1:18" x14ac:dyDescent="0.4">
      <c r="A69" s="213" t="s">
        <v>177</v>
      </c>
      <c r="B69" s="50"/>
      <c r="C69" s="12"/>
      <c r="D69" s="12"/>
      <c r="E69" s="55">
        <v>2021</v>
      </c>
      <c r="F69" s="73">
        <f>F61/7.2</f>
        <v>86521.185944444587</v>
      </c>
      <c r="G69" s="50"/>
      <c r="H69" s="12"/>
      <c r="I69" s="373"/>
      <c r="J69" s="374"/>
      <c r="K69" s="117">
        <f>F17</f>
        <v>0</v>
      </c>
      <c r="L69" s="293">
        <f>J17</f>
        <v>-2971827.9456880004</v>
      </c>
      <c r="N69" s="15" t="s">
        <v>196</v>
      </c>
      <c r="P69" s="15"/>
      <c r="R69" s="15"/>
    </row>
    <row r="70" spans="1:18" ht="14.6" customHeight="1" x14ac:dyDescent="0.4">
      <c r="A70" s="213" t="s">
        <v>178</v>
      </c>
      <c r="B70" s="50"/>
      <c r="C70" s="12"/>
      <c r="D70" s="12"/>
      <c r="E70" s="55">
        <v>2022</v>
      </c>
      <c r="F70" s="73">
        <f>F61/7.2</f>
        <v>86521.185944444587</v>
      </c>
      <c r="G70" s="50"/>
      <c r="H70" s="12"/>
      <c r="I70" s="280"/>
      <c r="J70" s="281"/>
      <c r="K70" s="117"/>
      <c r="L70" s="293"/>
      <c r="N70" s="15" t="s">
        <v>84</v>
      </c>
      <c r="P70" s="15"/>
      <c r="R70" s="15"/>
    </row>
    <row r="71" spans="1:18" x14ac:dyDescent="0.4">
      <c r="A71" s="214" t="s">
        <v>179</v>
      </c>
      <c r="B71" s="50"/>
      <c r="C71" s="12"/>
      <c r="D71" s="12"/>
      <c r="E71" s="55">
        <v>2023</v>
      </c>
      <c r="F71" s="73">
        <f>F61/7.2</f>
        <v>86521.185944444587</v>
      </c>
      <c r="G71" s="50"/>
      <c r="H71" s="12"/>
      <c r="I71" s="280"/>
      <c r="J71" s="281"/>
      <c r="K71" s="117"/>
      <c r="L71" s="293"/>
      <c r="N71" s="15" t="s">
        <v>85</v>
      </c>
      <c r="P71" s="15"/>
      <c r="R71" s="15"/>
    </row>
    <row r="72" spans="1:18" ht="15" thickBot="1" x14ac:dyDescent="0.45">
      <c r="A72" s="213"/>
      <c r="B72" s="50"/>
      <c r="C72" s="12"/>
      <c r="D72" s="12"/>
      <c r="E72" s="55">
        <v>2024</v>
      </c>
      <c r="F72" s="73">
        <f>F61/7.2</f>
        <v>86521.185944444587</v>
      </c>
      <c r="G72" s="50"/>
      <c r="H72" s="12"/>
      <c r="I72" s="110"/>
      <c r="J72" s="111"/>
      <c r="K72" s="295"/>
      <c r="L72" s="294"/>
      <c r="N72" s="15" t="s">
        <v>138</v>
      </c>
      <c r="P72" s="15"/>
      <c r="R72" s="15"/>
    </row>
    <row r="73" spans="1:18" ht="15" thickBot="1" x14ac:dyDescent="0.45">
      <c r="A73" s="213"/>
      <c r="B73" s="50"/>
      <c r="C73" s="50"/>
      <c r="D73" s="50"/>
      <c r="E73" s="55">
        <v>2025</v>
      </c>
      <c r="F73" s="74">
        <f>F74-SUM(F66:F72)</f>
        <v>17304.23718888883</v>
      </c>
      <c r="G73" s="50"/>
      <c r="H73" s="12"/>
      <c r="I73" s="282"/>
      <c r="J73" s="283"/>
      <c r="K73" s="75"/>
      <c r="L73" s="75"/>
      <c r="R73" s="15"/>
    </row>
    <row r="74" spans="1:18" ht="15.45" thickTop="1" thickBot="1" x14ac:dyDescent="0.45">
      <c r="A74" s="214"/>
      <c r="B74" s="51"/>
      <c r="C74" s="52"/>
      <c r="D74" s="52"/>
      <c r="E74" s="56"/>
      <c r="F74" s="219">
        <f>F61</f>
        <v>622952.53880000103</v>
      </c>
      <c r="G74" s="50"/>
      <c r="H74" s="12"/>
      <c r="I74" s="396" t="s">
        <v>60</v>
      </c>
      <c r="J74" s="397"/>
      <c r="K74" s="117">
        <f>G17</f>
        <v>56653.711847600003</v>
      </c>
      <c r="L74" s="118">
        <f>K17</f>
        <v>-1378250.2930672001</v>
      </c>
      <c r="R74" s="15"/>
    </row>
    <row r="75" spans="1:18" ht="15" thickBot="1" x14ac:dyDescent="0.45">
      <c r="A75" s="62"/>
      <c r="B75" s="28"/>
      <c r="C75" s="27"/>
      <c r="D75" s="27"/>
      <c r="E75" s="28"/>
      <c r="F75" s="54"/>
      <c r="G75" s="50"/>
      <c r="H75" s="12"/>
      <c r="I75" s="112"/>
      <c r="J75" s="66"/>
      <c r="K75" s="80"/>
      <c r="L75" s="80"/>
      <c r="R75" s="15"/>
    </row>
    <row r="76" spans="1:18" ht="15" thickBot="1" x14ac:dyDescent="0.45">
      <c r="A76" s="63"/>
      <c r="B76" s="64"/>
      <c r="C76" s="64"/>
      <c r="D76" s="64"/>
      <c r="E76" s="64"/>
      <c r="F76" s="66"/>
      <c r="G76" s="50"/>
      <c r="H76" s="12"/>
      <c r="I76" s="371" t="s">
        <v>61</v>
      </c>
      <c r="J76" s="372"/>
      <c r="K76" s="75"/>
      <c r="L76" s="75"/>
    </row>
    <row r="77" spans="1:18" x14ac:dyDescent="0.4">
      <c r="I77" s="373"/>
      <c r="J77" s="374"/>
      <c r="K77" s="77"/>
      <c r="L77" s="77"/>
    </row>
    <row r="78" spans="1:18" x14ac:dyDescent="0.4">
      <c r="I78" s="373"/>
      <c r="J78" s="374"/>
      <c r="K78" s="77"/>
      <c r="L78" s="77"/>
    </row>
    <row r="79" spans="1:18" x14ac:dyDescent="0.4">
      <c r="I79" s="373"/>
      <c r="J79" s="374"/>
      <c r="K79" s="117">
        <f>K60+M60+O60+Q60</f>
        <v>722418.35285555641</v>
      </c>
      <c r="L79" s="117">
        <f>J60+L60+N60+P60</f>
        <v>-694523</v>
      </c>
    </row>
    <row r="80" spans="1:18" ht="15" thickBot="1" x14ac:dyDescent="0.45">
      <c r="I80" s="112"/>
      <c r="J80" s="66"/>
      <c r="K80" s="80"/>
      <c r="L80" s="80"/>
    </row>
    <row r="81" spans="1:17" x14ac:dyDescent="0.4">
      <c r="I81" s="371" t="s">
        <v>62</v>
      </c>
      <c r="J81" s="372"/>
      <c r="K81" s="75"/>
      <c r="L81" s="75"/>
    </row>
    <row r="82" spans="1:17" x14ac:dyDescent="0.4">
      <c r="I82" s="373"/>
      <c r="J82" s="374"/>
      <c r="K82" s="117">
        <f>D20</f>
        <v>1152740</v>
      </c>
      <c r="L82" s="77"/>
    </row>
    <row r="83" spans="1:17" ht="15" thickBot="1" x14ac:dyDescent="0.45">
      <c r="I83" s="112"/>
      <c r="J83" s="66"/>
      <c r="K83" s="80"/>
      <c r="L83" s="80"/>
    </row>
    <row r="84" spans="1:17" ht="15" thickBot="1" x14ac:dyDescent="0.45">
      <c r="I84" s="113" t="s">
        <v>63</v>
      </c>
      <c r="J84" s="114"/>
      <c r="K84" s="121">
        <f>SUM(K65:K83)</f>
        <v>2525424.7654975564</v>
      </c>
      <c r="L84" s="121">
        <f>SUM(L65:L83)</f>
        <v>-5892504.1544024004</v>
      </c>
    </row>
    <row r="85" spans="1:17" ht="15" thickBot="1" x14ac:dyDescent="0.45"/>
    <row r="86" spans="1:17" x14ac:dyDescent="0.4">
      <c r="J86" s="160" t="s">
        <v>139</v>
      </c>
      <c r="K86" s="12"/>
      <c r="L86" s="115" t="s">
        <v>68</v>
      </c>
      <c r="M86" s="292" t="s">
        <v>34</v>
      </c>
      <c r="N86" s="360"/>
      <c r="O86" s="360"/>
      <c r="P86" s="50"/>
      <c r="Q86" s="50"/>
    </row>
    <row r="87" spans="1:17" ht="15" thickBot="1" x14ac:dyDescent="0.45">
      <c r="A87" s="1" t="s">
        <v>26</v>
      </c>
      <c r="E87" s="6"/>
      <c r="J87" s="12"/>
      <c r="K87" s="12"/>
      <c r="L87" s="124" t="s">
        <v>69</v>
      </c>
      <c r="M87" s="157"/>
      <c r="N87" s="8"/>
      <c r="O87" s="8"/>
      <c r="P87" s="8"/>
      <c r="Q87" s="8"/>
    </row>
    <row r="88" spans="1:17" ht="15" thickBot="1" x14ac:dyDescent="0.45">
      <c r="A88" s="1"/>
      <c r="J88" s="12"/>
      <c r="K88" s="12"/>
      <c r="L88" s="158">
        <v>2019</v>
      </c>
      <c r="M88" s="125">
        <f>'6 - Amort - Notes'!V65</f>
        <v>-361324.06302795536</v>
      </c>
      <c r="N88" s="20"/>
      <c r="O88" s="20"/>
      <c r="P88" s="20"/>
      <c r="Q88" s="20"/>
    </row>
    <row r="89" spans="1:17" ht="15" thickBot="1" x14ac:dyDescent="0.45">
      <c r="B89" s="89"/>
      <c r="C89" s="89"/>
      <c r="D89" s="89"/>
      <c r="E89" s="90" t="s">
        <v>86</v>
      </c>
      <c r="F89" s="89"/>
      <c r="G89" s="90" t="s">
        <v>88</v>
      </c>
      <c r="H89" s="89"/>
      <c r="I89" s="90">
        <v>2018</v>
      </c>
      <c r="J89" s="150"/>
      <c r="K89" s="150"/>
      <c r="L89" s="158">
        <v>2020</v>
      </c>
      <c r="M89" s="125">
        <f>'6 - Amort - Notes'!V66</f>
        <v>-1000179.0669011554</v>
      </c>
      <c r="N89" s="20"/>
      <c r="O89" s="20"/>
      <c r="P89" s="20"/>
      <c r="Q89" s="20"/>
    </row>
    <row r="90" spans="1:17" ht="15" thickBot="1" x14ac:dyDescent="0.45">
      <c r="B90" s="92" t="s">
        <v>20</v>
      </c>
      <c r="C90" s="92"/>
      <c r="D90" s="92" t="s">
        <v>21</v>
      </c>
      <c r="E90" s="92" t="s">
        <v>87</v>
      </c>
      <c r="F90" s="92" t="s">
        <v>22</v>
      </c>
      <c r="G90" s="92" t="s">
        <v>89</v>
      </c>
      <c r="H90" s="92" t="s">
        <v>23</v>
      </c>
      <c r="I90" s="92" t="s">
        <v>27</v>
      </c>
      <c r="J90" s="150"/>
      <c r="K90" s="150"/>
      <c r="L90" s="158">
        <v>2021</v>
      </c>
      <c r="M90" s="125">
        <f>'6 - Amort - Notes'!V67</f>
        <v>-1855984.9397659556</v>
      </c>
      <c r="N90" s="20"/>
      <c r="O90" s="20"/>
      <c r="P90" s="20"/>
      <c r="Q90" s="20"/>
    </row>
    <row r="91" spans="1:17" ht="15" thickBot="1" x14ac:dyDescent="0.45">
      <c r="A91" s="84">
        <v>42736</v>
      </c>
      <c r="B91" s="16">
        <f>D16</f>
        <v>-9330550.8692400008</v>
      </c>
      <c r="C91" s="16"/>
      <c r="D91" s="16">
        <f>H16</f>
        <v>1044512.90694</v>
      </c>
      <c r="E91" s="16">
        <f>D19</f>
        <v>1075081</v>
      </c>
      <c r="F91" s="16">
        <f>L16</f>
        <v>-2794166.0828999998</v>
      </c>
      <c r="G91" s="88">
        <f>SUM(J52:O58)</f>
        <v>-450166</v>
      </c>
      <c r="H91" s="16"/>
      <c r="I91" s="16"/>
      <c r="J91" s="150"/>
      <c r="K91" s="150"/>
      <c r="L91" s="159">
        <v>2022</v>
      </c>
      <c r="M91" s="125">
        <f>'6 - Amort - Notes'!V68</f>
        <v>-710553.52628155553</v>
      </c>
      <c r="N91" s="20"/>
      <c r="O91" s="20"/>
      <c r="P91" s="20"/>
      <c r="Q91" s="20"/>
    </row>
    <row r="92" spans="1:17" ht="15" thickBot="1" x14ac:dyDescent="0.45">
      <c r="A92" s="84">
        <v>43100</v>
      </c>
      <c r="B92" s="82">
        <f>D17</f>
        <v>-4842900.5604000008</v>
      </c>
      <c r="C92" s="82"/>
      <c r="D92" s="82">
        <f>H17</f>
        <v>650266.41264200001</v>
      </c>
      <c r="E92" s="82">
        <f>D20</f>
        <v>1152740</v>
      </c>
      <c r="F92" s="82">
        <f>L17</f>
        <v>-5197981.1544024004</v>
      </c>
      <c r="G92" s="266">
        <f>R60</f>
        <v>27895.352855556353</v>
      </c>
      <c r="H92" s="82"/>
      <c r="I92" s="20"/>
      <c r="J92" s="236" t="s">
        <v>209</v>
      </c>
      <c r="K92" s="150"/>
      <c r="L92" s="159">
        <v>2023</v>
      </c>
      <c r="M92" s="125">
        <f>'6 - Amort - Notes'!V69</f>
        <v>-286275.70660115546</v>
      </c>
      <c r="N92" s="20"/>
      <c r="O92" s="20"/>
      <c r="P92" s="20"/>
      <c r="Q92" s="20"/>
    </row>
    <row r="93" spans="1:17" ht="15" thickBot="1" x14ac:dyDescent="0.45">
      <c r="A93" s="81" t="s">
        <v>28</v>
      </c>
      <c r="B93" s="11">
        <f>B91-B92</f>
        <v>-4487650.3088400001</v>
      </c>
      <c r="C93" s="16"/>
      <c r="D93" s="11">
        <f>D91-D92</f>
        <v>394246.49429800001</v>
      </c>
      <c r="E93" s="11">
        <f>E91-E92</f>
        <v>-77659</v>
      </c>
      <c r="F93" s="11">
        <f>F91-F92</f>
        <v>2403815.0715024006</v>
      </c>
      <c r="G93" s="11">
        <f>G91-G92</f>
        <v>-478061.35285555635</v>
      </c>
      <c r="H93" s="20">
        <f>SUM(B93:G93)</f>
        <v>-2245309.0958951558</v>
      </c>
      <c r="I93" s="226">
        <v>2265500</v>
      </c>
      <c r="J93" s="236" t="s">
        <v>296</v>
      </c>
      <c r="K93" s="12"/>
      <c r="L93" s="123" t="s">
        <v>137</v>
      </c>
      <c r="M93" s="125">
        <f>'6 - Amort - Notes'!V70</f>
        <v>-305502.08632706659</v>
      </c>
      <c r="N93" s="20"/>
      <c r="O93" s="20"/>
      <c r="P93" s="12"/>
      <c r="Q93" s="12"/>
    </row>
    <row r="94" spans="1:17" ht="15" thickBot="1" x14ac:dyDescent="0.45">
      <c r="J94" s="237" t="s">
        <v>210</v>
      </c>
      <c r="K94" s="150"/>
      <c r="L94" s="161" t="s">
        <v>63</v>
      </c>
      <c r="M94" s="126">
        <f>SUM(M88:M93)</f>
        <v>-4519819.3889048444</v>
      </c>
      <c r="N94" s="278"/>
      <c r="O94" s="278"/>
      <c r="P94" s="278"/>
      <c r="Q94" s="278"/>
    </row>
    <row r="95" spans="1:17" x14ac:dyDescent="0.4">
      <c r="A95" s="1"/>
      <c r="B95" s="16">
        <f>B93</f>
        <v>-4487650.3088400001</v>
      </c>
      <c r="C95" s="16"/>
      <c r="D95" s="16" t="s">
        <v>239</v>
      </c>
      <c r="G95" s="20"/>
      <c r="H95" s="12"/>
    </row>
    <row r="96" spans="1:17" x14ac:dyDescent="0.4">
      <c r="A96" s="1"/>
      <c r="B96" s="16">
        <f>D93</f>
        <v>394246.49429800001</v>
      </c>
      <c r="D96" t="s">
        <v>240</v>
      </c>
      <c r="G96" s="20"/>
      <c r="H96" s="12"/>
    </row>
    <row r="97" spans="1:12" x14ac:dyDescent="0.4">
      <c r="A97" s="1"/>
      <c r="B97" s="16">
        <f>E93</f>
        <v>-77659</v>
      </c>
      <c r="D97" t="s">
        <v>241</v>
      </c>
      <c r="G97" s="17">
        <f>M17</f>
        <v>-104335.4026344</v>
      </c>
      <c r="H97" s="15" t="s">
        <v>207</v>
      </c>
    </row>
    <row r="98" spans="1:12" x14ac:dyDescent="0.4">
      <c r="B98" s="16">
        <f>F93</f>
        <v>2403815.0715024006</v>
      </c>
      <c r="D98" t="s">
        <v>242</v>
      </c>
      <c r="G98" s="296">
        <f>R52</f>
        <v>144891.18594444459</v>
      </c>
      <c r="H98" s="93" t="s">
        <v>30</v>
      </c>
      <c r="L98" s="15" t="s">
        <v>258</v>
      </c>
    </row>
    <row r="99" spans="1:12" x14ac:dyDescent="0.4">
      <c r="B99" s="16">
        <f>G93</f>
        <v>-478061.35285555635</v>
      </c>
      <c r="D99" t="s">
        <v>243</v>
      </c>
      <c r="G99" s="20">
        <f>-6913057*B17</f>
        <v>-19608.194874800003</v>
      </c>
      <c r="H99" s="15" t="s">
        <v>295</v>
      </c>
      <c r="L99" s="15" t="s">
        <v>259</v>
      </c>
    </row>
    <row r="100" spans="1:12" x14ac:dyDescent="0.4">
      <c r="B100" s="82">
        <f>I93</f>
        <v>2265500</v>
      </c>
      <c r="D100" t="s">
        <v>29</v>
      </c>
      <c r="G100" s="82"/>
      <c r="H100" s="93" t="s">
        <v>257</v>
      </c>
    </row>
    <row r="101" spans="1:12" ht="15" thickBot="1" x14ac:dyDescent="0.45">
      <c r="B101" s="85">
        <f>SUM(B95:B100)</f>
        <v>20190.904104844201</v>
      </c>
      <c r="D101" s="15" t="s">
        <v>91</v>
      </c>
      <c r="G101" s="87">
        <f>SUM(G97:G100)</f>
        <v>20947.588435244583</v>
      </c>
      <c r="H101" s="15" t="s">
        <v>25</v>
      </c>
    </row>
    <row r="102" spans="1:12" ht="15" thickTop="1" x14ac:dyDescent="0.4"/>
    <row r="103" spans="1:12" x14ac:dyDescent="0.4">
      <c r="E103" s="342" t="s">
        <v>297</v>
      </c>
      <c r="F103" s="343">
        <f>B101/G101</f>
        <v>0.96387725810350322</v>
      </c>
    </row>
  </sheetData>
  <mergeCells count="19">
    <mergeCell ref="I76:J79"/>
    <mergeCell ref="I81:J82"/>
    <mergeCell ref="I64:J65"/>
    <mergeCell ref="I61:L61"/>
    <mergeCell ref="I67:J69"/>
    <mergeCell ref="E65:F65"/>
    <mergeCell ref="E10:H10"/>
    <mergeCell ref="G47:G48"/>
    <mergeCell ref="A61:C61"/>
    <mergeCell ref="I74:J74"/>
    <mergeCell ref="D2:M2"/>
    <mergeCell ref="E8:M8"/>
    <mergeCell ref="E9:M9"/>
    <mergeCell ref="I10:L10"/>
    <mergeCell ref="F47:F48"/>
    <mergeCell ref="H47:H48"/>
    <mergeCell ref="A45:F45"/>
    <mergeCell ref="A36:B36"/>
    <mergeCell ref="I45:R45"/>
  </mergeCells>
  <dataValidations count="4">
    <dataValidation allowBlank="1" showInputMessage="1" showErrorMessage="1" promptTitle="Deferred Outflows" prompt="Enter amounts in this column as debits (+)." sqref="K49:K59"/>
    <dataValidation allowBlank="1" showInputMessage="1" showErrorMessage="1" promptTitle="Deferred Inflows" prompt="Enter amounts in this column as credits (-)." sqref="L49:L59 J49:J59"/>
    <dataValidation allowBlank="1" showInputMessage="1" showErrorMessage="1" promptTitle="Deferred Outlows" prompt="Enter amounts in this column as debits (+)." sqref="M49:O59"/>
    <dataValidation allowBlank="1" showInputMessage="1" showErrorMessage="1" prompt="If you have more than one DRS ORG ID number, combine the percentages." sqref="B16:B17"/>
  </dataValidations>
  <pageMargins left="0.7" right="0.7" top="0.75" bottom="0.75" header="0.3" footer="0.3"/>
  <pageSetup paperSize="17" orientation="landscape" cellComments="asDisplayed" r:id="rId1"/>
  <ignoredErrors>
    <ignoredError sqref="H12:H13 R49:R51"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6"/>
  <sheetViews>
    <sheetView zoomScaleNormal="100" workbookViewId="0"/>
  </sheetViews>
  <sheetFormatPr defaultRowHeight="14.6" x14ac:dyDescent="0.4"/>
  <cols>
    <col min="1" max="1" width="28.69140625" customWidth="1"/>
    <col min="2" max="2" width="12.69140625" customWidth="1"/>
    <col min="3" max="3" width="1.69140625" customWidth="1"/>
    <col min="4" max="8" width="15.69140625" customWidth="1"/>
    <col min="9" max="9" width="16.3046875" customWidth="1"/>
    <col min="10" max="18" width="15.69140625" customWidth="1"/>
  </cols>
  <sheetData>
    <row r="1" spans="1:17" x14ac:dyDescent="0.4">
      <c r="A1" s="1"/>
    </row>
    <row r="2" spans="1:17" x14ac:dyDescent="0.4">
      <c r="D2" s="364" t="s">
        <v>278</v>
      </c>
      <c r="E2" s="364"/>
      <c r="F2" s="364"/>
      <c r="G2" s="364"/>
      <c r="H2" s="364"/>
      <c r="I2" s="364"/>
      <c r="J2" s="364"/>
      <c r="K2" s="364"/>
      <c r="L2" s="364"/>
      <c r="M2" s="364"/>
      <c r="N2" s="338"/>
      <c r="O2" s="338"/>
      <c r="P2" s="297"/>
      <c r="Q2" s="297"/>
    </row>
    <row r="4" spans="1:17" x14ac:dyDescent="0.4">
      <c r="D4" s="2" t="s">
        <v>114</v>
      </c>
      <c r="E4" s="2"/>
      <c r="F4" s="2"/>
      <c r="G4" s="2"/>
      <c r="H4" s="2"/>
      <c r="I4" s="2"/>
      <c r="J4" s="2"/>
      <c r="K4" s="2"/>
      <c r="L4" s="2"/>
      <c r="M4" s="2"/>
      <c r="N4" s="2"/>
      <c r="O4" s="2"/>
      <c r="P4" s="2"/>
      <c r="Q4" s="2"/>
    </row>
    <row r="5" spans="1:17" x14ac:dyDescent="0.4">
      <c r="D5" s="2" t="s">
        <v>279</v>
      </c>
      <c r="E5" s="2"/>
      <c r="F5" s="2"/>
      <c r="G5" s="2"/>
      <c r="H5" s="2"/>
      <c r="I5" s="2"/>
      <c r="J5" s="2"/>
      <c r="K5" s="2"/>
      <c r="L5" s="2"/>
      <c r="M5" s="2"/>
      <c r="N5" s="2"/>
      <c r="O5" s="2"/>
      <c r="P5" s="2"/>
      <c r="Q5" s="2"/>
    </row>
    <row r="6" spans="1:17" x14ac:dyDescent="0.4">
      <c r="D6" s="3" t="s">
        <v>280</v>
      </c>
      <c r="E6" s="2"/>
      <c r="F6" s="2"/>
      <c r="G6" s="2"/>
      <c r="H6" s="2"/>
      <c r="I6" s="2"/>
      <c r="J6" s="2"/>
      <c r="K6" s="2"/>
      <c r="L6" s="2"/>
      <c r="M6" s="2"/>
      <c r="N6" s="2"/>
      <c r="O6" s="2"/>
      <c r="P6" s="2"/>
      <c r="Q6" s="2"/>
    </row>
    <row r="7" spans="1:17" x14ac:dyDescent="0.4">
      <c r="D7" s="3" t="s">
        <v>281</v>
      </c>
      <c r="E7" s="4"/>
      <c r="F7" s="2"/>
      <c r="G7" s="2"/>
      <c r="H7" s="2"/>
      <c r="I7" s="2"/>
      <c r="J7" s="2"/>
      <c r="K7" s="2"/>
      <c r="L7" s="2"/>
      <c r="M7" s="2"/>
      <c r="N7" s="2"/>
      <c r="O7" s="2"/>
      <c r="P7" s="2"/>
      <c r="Q7" s="2"/>
    </row>
    <row r="8" spans="1:17" x14ac:dyDescent="0.4">
      <c r="E8" s="365"/>
      <c r="F8" s="365"/>
      <c r="G8" s="365"/>
      <c r="H8" s="365"/>
      <c r="I8" s="365"/>
      <c r="J8" s="365"/>
      <c r="K8" s="365"/>
      <c r="L8" s="365"/>
      <c r="M8" s="365"/>
      <c r="N8" s="339"/>
      <c r="O8" s="339"/>
      <c r="P8" s="298"/>
      <c r="Q8" s="298"/>
    </row>
    <row r="9" spans="1:17" ht="15" thickBot="1" x14ac:dyDescent="0.45">
      <c r="E9" s="365"/>
      <c r="F9" s="365"/>
      <c r="G9" s="365"/>
      <c r="H9" s="365"/>
      <c r="I9" s="365"/>
      <c r="J9" s="365"/>
      <c r="K9" s="365"/>
      <c r="L9" s="365"/>
      <c r="M9" s="365"/>
      <c r="N9" s="339"/>
      <c r="O9" s="339"/>
      <c r="P9" s="298"/>
      <c r="Q9" s="298"/>
    </row>
    <row r="10" spans="1:17" ht="15" thickBot="1" x14ac:dyDescent="0.45">
      <c r="B10" s="177" t="s">
        <v>148</v>
      </c>
      <c r="E10" s="366" t="s">
        <v>208</v>
      </c>
      <c r="F10" s="367"/>
      <c r="G10" s="367"/>
      <c r="H10" s="367"/>
      <c r="I10" s="368" t="s">
        <v>13</v>
      </c>
      <c r="J10" s="369"/>
      <c r="K10" s="369"/>
      <c r="L10" s="370"/>
    </row>
    <row r="11" spans="1:17" ht="117" thickBot="1" x14ac:dyDescent="0.45">
      <c r="A11" s="132"/>
      <c r="D11" s="32" t="s">
        <v>103</v>
      </c>
      <c r="E11" s="33" t="s">
        <v>0</v>
      </c>
      <c r="F11" s="33" t="s">
        <v>1</v>
      </c>
      <c r="G11" s="33" t="s">
        <v>2</v>
      </c>
      <c r="H11" s="46" t="s">
        <v>14</v>
      </c>
      <c r="I11" s="35" t="s">
        <v>0</v>
      </c>
      <c r="J11" s="35" t="s">
        <v>1</v>
      </c>
      <c r="K11" s="35" t="s">
        <v>2</v>
      </c>
      <c r="L11" s="67" t="s">
        <v>15</v>
      </c>
      <c r="M11" s="31" t="s">
        <v>3</v>
      </c>
      <c r="N11" s="276"/>
      <c r="O11" s="276"/>
      <c r="P11" s="276"/>
      <c r="Q11" s="276"/>
    </row>
    <row r="12" spans="1:17" x14ac:dyDescent="0.4">
      <c r="A12" s="1" t="s">
        <v>282</v>
      </c>
      <c r="D12" s="36">
        <v>-19593000</v>
      </c>
      <c r="E12" s="70">
        <v>11588000</v>
      </c>
      <c r="F12" s="70"/>
      <c r="G12" s="70">
        <v>166000</v>
      </c>
      <c r="H12" s="71">
        <f>SUM(E12:G12)</f>
        <v>11754000</v>
      </c>
      <c r="I12" s="353">
        <v>-1392000</v>
      </c>
      <c r="J12" s="40">
        <v>-13742000</v>
      </c>
      <c r="K12" s="39"/>
      <c r="L12" s="41">
        <f>+SUM(I12:K12)</f>
        <v>-15134000</v>
      </c>
      <c r="M12" s="5"/>
      <c r="N12" s="5"/>
      <c r="O12" s="5"/>
      <c r="P12" s="5"/>
      <c r="Q12" s="5"/>
    </row>
    <row r="13" spans="1:17" ht="15" thickBot="1" x14ac:dyDescent="0.45">
      <c r="A13" s="176" t="s">
        <v>283</v>
      </c>
      <c r="B13" s="175"/>
      <c r="C13" s="175"/>
      <c r="D13" s="37">
        <v>-1239000</v>
      </c>
      <c r="E13" s="38">
        <v>9189209</v>
      </c>
      <c r="F13" s="38"/>
      <c r="G13" s="38">
        <v>132555</v>
      </c>
      <c r="H13" s="38">
        <f>SUM(E13:G13)</f>
        <v>9321764</v>
      </c>
      <c r="I13" s="43">
        <v>-1271192</v>
      </c>
      <c r="J13" s="43">
        <v>-16706315</v>
      </c>
      <c r="K13" s="43">
        <v>-7667296</v>
      </c>
      <c r="L13" s="44">
        <f>+SUM(I13:K13)</f>
        <v>-25644803</v>
      </c>
      <c r="M13" s="34">
        <v>20621876</v>
      </c>
      <c r="N13" s="277"/>
      <c r="O13" s="277"/>
      <c r="P13" s="277"/>
      <c r="Q13" s="277"/>
    </row>
    <row r="14" spans="1:17" ht="15" thickTop="1" x14ac:dyDescent="0.4"/>
    <row r="15" spans="1:17" ht="15" thickBot="1" x14ac:dyDescent="0.45">
      <c r="A15" s="15" t="s">
        <v>147</v>
      </c>
    </row>
    <row r="16" spans="1:17" ht="15" thickBot="1" x14ac:dyDescent="0.45">
      <c r="A16" s="6" t="s">
        <v>273</v>
      </c>
      <c r="B16" s="122">
        <v>2.8940699999999999E-3</v>
      </c>
      <c r="C16" s="6"/>
      <c r="D16" s="164">
        <f>D12*$B$16</f>
        <v>-56703.513509999997</v>
      </c>
      <c r="E16" s="166">
        <f t="shared" ref="E16:L16" si="0">E12*$B$16</f>
        <v>33536.483159999996</v>
      </c>
      <c r="F16" s="166">
        <f t="shared" si="0"/>
        <v>0</v>
      </c>
      <c r="G16" s="166">
        <f t="shared" si="0"/>
        <v>480.41561999999999</v>
      </c>
      <c r="H16" s="167">
        <f t="shared" si="0"/>
        <v>34016.898779999996</v>
      </c>
      <c r="I16" s="170">
        <f t="shared" si="0"/>
        <v>-4028.5454399999999</v>
      </c>
      <c r="J16" s="170">
        <f t="shared" si="0"/>
        <v>-39770.309939999999</v>
      </c>
      <c r="K16" s="170">
        <f t="shared" si="0"/>
        <v>0</v>
      </c>
      <c r="L16" s="171">
        <f t="shared" si="0"/>
        <v>-43798.855380000001</v>
      </c>
      <c r="M16" s="7"/>
      <c r="N16" s="7"/>
      <c r="O16" s="7"/>
      <c r="P16" s="7"/>
      <c r="Q16" s="7"/>
    </row>
    <row r="17" spans="1:17" ht="15" thickBot="1" x14ac:dyDescent="0.45">
      <c r="A17" s="6" t="s">
        <v>312</v>
      </c>
      <c r="B17" s="122">
        <v>3.1264299999999999E-3</v>
      </c>
      <c r="C17" s="6"/>
      <c r="D17" s="165">
        <f>D13*$B$17</f>
        <v>-3873.6467699999998</v>
      </c>
      <c r="E17" s="168">
        <f>E13*$B$17</f>
        <v>28729.41869387</v>
      </c>
      <c r="F17" s="168">
        <f t="shared" ref="F17:M17" si="1">F13*$B$17</f>
        <v>0</v>
      </c>
      <c r="G17" s="168">
        <f t="shared" si="1"/>
        <v>414.42392864999999</v>
      </c>
      <c r="H17" s="169">
        <f t="shared" si="1"/>
        <v>29143.842622519998</v>
      </c>
      <c r="I17" s="172">
        <f t="shared" si="1"/>
        <v>-3974.2928045599997</v>
      </c>
      <c r="J17" s="172">
        <f t="shared" si="1"/>
        <v>-52231.124405449998</v>
      </c>
      <c r="K17" s="172">
        <f t="shared" si="1"/>
        <v>-23971.264233279999</v>
      </c>
      <c r="L17" s="173">
        <f t="shared" si="1"/>
        <v>-80176.681443289999</v>
      </c>
      <c r="M17" s="8">
        <f t="shared" si="1"/>
        <v>64472.851782680002</v>
      </c>
      <c r="N17" s="8"/>
      <c r="O17" s="8"/>
      <c r="P17" s="8"/>
      <c r="Q17" s="8"/>
    </row>
    <row r="18" spans="1:17" ht="15" thickBot="1" x14ac:dyDescent="0.45">
      <c r="A18" s="6"/>
      <c r="B18" s="6"/>
      <c r="C18" s="6"/>
      <c r="D18" s="6"/>
      <c r="E18" s="6"/>
    </row>
    <row r="19" spans="1:17" ht="15" thickBot="1" x14ac:dyDescent="0.45">
      <c r="A19" s="6" t="s">
        <v>255</v>
      </c>
      <c r="B19" s="6"/>
      <c r="C19" s="6"/>
      <c r="D19" s="216">
        <v>43663</v>
      </c>
      <c r="E19" s="6"/>
    </row>
    <row r="20" spans="1:17" ht="15" thickBot="1" x14ac:dyDescent="0.45">
      <c r="A20" s="6" t="s">
        <v>285</v>
      </c>
      <c r="B20" s="6"/>
      <c r="C20" s="6"/>
      <c r="D20" s="216">
        <v>41018</v>
      </c>
      <c r="E20" s="6"/>
    </row>
    <row r="21" spans="1:17" x14ac:dyDescent="0.4">
      <c r="A21" s="6"/>
      <c r="B21" s="6"/>
      <c r="C21" s="6"/>
      <c r="D21" s="6"/>
      <c r="E21" s="6"/>
      <c r="H21" s="47"/>
    </row>
    <row r="22" spans="1:17" x14ac:dyDescent="0.4">
      <c r="A22" s="9"/>
      <c r="B22" s="6"/>
      <c r="C22" s="6"/>
      <c r="D22" s="6"/>
      <c r="E22" s="6"/>
      <c r="H22" s="47"/>
    </row>
    <row r="23" spans="1:17" x14ac:dyDescent="0.4">
      <c r="A23" s="1"/>
      <c r="B23" s="6"/>
      <c r="C23" s="6"/>
      <c r="D23" s="10" t="s">
        <v>4</v>
      </c>
      <c r="E23" s="10" t="s">
        <v>5</v>
      </c>
    </row>
    <row r="24" spans="1:17" x14ac:dyDescent="0.4">
      <c r="A24" s="68" t="s">
        <v>65</v>
      </c>
      <c r="B24" s="6"/>
      <c r="C24" s="6"/>
      <c r="D24" s="11"/>
      <c r="E24" s="11"/>
      <c r="F24" s="13"/>
      <c r="G24" s="13"/>
      <c r="H24" s="19"/>
    </row>
    <row r="25" spans="1:17" x14ac:dyDescent="0.4">
      <c r="A25" s="6" t="s">
        <v>289</v>
      </c>
      <c r="B25" s="6"/>
      <c r="C25" s="6"/>
      <c r="D25" s="11">
        <f>-D16</f>
        <v>56703.513509999997</v>
      </c>
      <c r="E25" s="11"/>
      <c r="F25" s="14"/>
      <c r="G25" s="14"/>
      <c r="H25" s="19"/>
    </row>
    <row r="26" spans="1:17" x14ac:dyDescent="0.4">
      <c r="A26" s="6" t="s">
        <v>290</v>
      </c>
      <c r="B26" s="6"/>
      <c r="C26" s="6"/>
      <c r="D26" s="11"/>
      <c r="E26" s="11">
        <f>D17</f>
        <v>-3873.6467699999998</v>
      </c>
      <c r="F26" s="15"/>
      <c r="G26" s="15"/>
      <c r="H26" s="19"/>
    </row>
    <row r="27" spans="1:17" x14ac:dyDescent="0.4">
      <c r="A27" s="6" t="s">
        <v>304</v>
      </c>
      <c r="D27" s="16">
        <f>H17</f>
        <v>29143.842622519998</v>
      </c>
      <c r="E27" s="16"/>
      <c r="H27" s="12"/>
    </row>
    <row r="28" spans="1:17" x14ac:dyDescent="0.4">
      <c r="A28" s="45" t="s">
        <v>305</v>
      </c>
      <c r="D28" s="16"/>
      <c r="E28" s="16">
        <f>-H16</f>
        <v>-34016.898779999996</v>
      </c>
      <c r="H28" s="12"/>
    </row>
    <row r="29" spans="1:17" x14ac:dyDescent="0.4">
      <c r="A29" s="45" t="s">
        <v>301</v>
      </c>
      <c r="D29" s="16">
        <f>-L16</f>
        <v>43798.855380000001</v>
      </c>
      <c r="E29" s="16"/>
      <c r="H29" s="48"/>
    </row>
    <row r="30" spans="1:17" x14ac:dyDescent="0.4">
      <c r="A30" s="45" t="s">
        <v>306</v>
      </c>
      <c r="E30" s="16">
        <f>L17</f>
        <v>-80176.681443289999</v>
      </c>
      <c r="F30" s="15"/>
      <c r="G30" s="15"/>
      <c r="H30" s="17"/>
    </row>
    <row r="31" spans="1:17" x14ac:dyDescent="0.4">
      <c r="A31" t="s">
        <v>292</v>
      </c>
      <c r="D31" s="11">
        <f>D20</f>
        <v>41018</v>
      </c>
      <c r="H31" s="20"/>
    </row>
    <row r="32" spans="1:17" x14ac:dyDescent="0.4">
      <c r="A32" t="s">
        <v>293</v>
      </c>
      <c r="D32" s="11"/>
      <c r="E32" s="16">
        <f>-D19</f>
        <v>-43663</v>
      </c>
      <c r="H32" s="12"/>
    </row>
    <row r="33" spans="1:18" x14ac:dyDescent="0.4">
      <c r="A33" s="6" t="str">
        <f>IF(SUM(D25:E32)&lt;0, "Adjustment to Pension Expense","     Adjustment to Pension Expense")</f>
        <v xml:space="preserve">     Adjustment to Pension Expense</v>
      </c>
      <c r="D33" s="253">
        <f>IF(SUM(D25:E32)&lt;0, SUM(D25:E32)*-1, 0)</f>
        <v>0</v>
      </c>
      <c r="E33" s="253">
        <f>IF(SUM(D25:E32)&lt;0, 0, SUM(D25:E32)*-1)</f>
        <v>-8933.9845192299981</v>
      </c>
      <c r="H33" s="12"/>
    </row>
    <row r="34" spans="1:18" x14ac:dyDescent="0.4">
      <c r="H34" s="12"/>
    </row>
    <row r="35" spans="1:18" x14ac:dyDescent="0.4">
      <c r="A35" s="68" t="s">
        <v>64</v>
      </c>
      <c r="D35" s="16"/>
      <c r="E35" s="16"/>
      <c r="H35" s="49"/>
    </row>
    <row r="36" spans="1:18" ht="14.7" customHeight="1" x14ac:dyDescent="0.4">
      <c r="A36" s="390" t="str">
        <f>IF(F66&gt;0, "Deferred Outflows", "Adj. to Pension Expense")</f>
        <v>Deferred Outflows</v>
      </c>
      <c r="B36" s="390"/>
      <c r="D36" s="16">
        <f>IF(F66&gt;0, F66, -F66)</f>
        <v>5338.0062800000014</v>
      </c>
      <c r="F36" s="18"/>
      <c r="G36" s="18"/>
      <c r="H36" s="30"/>
    </row>
    <row r="37" spans="1:18" x14ac:dyDescent="0.4">
      <c r="A37" s="21" t="str">
        <f>IF(F66&gt;0,"Adj. to Pension Expense"," Deferred Inflow")</f>
        <v>Adj. to Pension Expense</v>
      </c>
      <c r="D37" s="16"/>
      <c r="E37" s="16">
        <f>IF(F66&gt;0, -F66, F66)</f>
        <v>-5338.0062800000014</v>
      </c>
      <c r="F37" s="18"/>
      <c r="G37" s="18"/>
      <c r="H37" s="19"/>
    </row>
    <row r="38" spans="1:18" x14ac:dyDescent="0.4">
      <c r="D38" s="16"/>
      <c r="E38" s="16"/>
      <c r="F38" s="15"/>
      <c r="G38" s="15"/>
      <c r="H38" s="20"/>
    </row>
    <row r="39" spans="1:18" x14ac:dyDescent="0.4">
      <c r="A39" s="68" t="s">
        <v>55</v>
      </c>
      <c r="D39" s="16"/>
      <c r="E39" s="16"/>
      <c r="F39" s="15"/>
      <c r="G39" s="15"/>
      <c r="H39" s="20"/>
    </row>
    <row r="40" spans="1:18" x14ac:dyDescent="0.4">
      <c r="A40" s="6" t="str">
        <f>IF(SUM(D41:E42)&lt;0, "Adjustment to Pension Expense","     Adjustment to Pension Expense")</f>
        <v>Adjustment to Pension Expense</v>
      </c>
      <c r="D40" s="253">
        <f>IF(SUM(D41:E42)&lt;0, SUM(D41:E42)*-1, 0)</f>
        <v>638.98425040650409</v>
      </c>
      <c r="E40" s="253">
        <f>IF(SUM(D41:E42)&lt;0, 0, SUM(D41:E42)*-1)</f>
        <v>0</v>
      </c>
      <c r="F40" s="18"/>
      <c r="G40" s="18"/>
      <c r="H40" s="20"/>
      <c r="J40" s="135"/>
    </row>
    <row r="41" spans="1:18" x14ac:dyDescent="0.4">
      <c r="A41" s="6" t="s">
        <v>57</v>
      </c>
      <c r="D41" s="16">
        <f>-J52-L52-N52-P52</f>
        <v>83</v>
      </c>
      <c r="E41" s="16"/>
      <c r="F41" s="18"/>
      <c r="G41" s="18"/>
      <c r="H41" s="20"/>
      <c r="J41" s="135"/>
    </row>
    <row r="42" spans="1:18" x14ac:dyDescent="0.4">
      <c r="A42" s="231" t="s">
        <v>236</v>
      </c>
      <c r="D42" s="16"/>
      <c r="E42" s="16">
        <f>-K52-M52-O52-Q52</f>
        <v>-721.98425040650409</v>
      </c>
      <c r="H42" s="12"/>
      <c r="J42" s="135"/>
    </row>
    <row r="43" spans="1:18" x14ac:dyDescent="0.4">
      <c r="D43" s="16"/>
      <c r="E43" s="16"/>
      <c r="J43" s="327" t="s">
        <v>262</v>
      </c>
      <c r="K43" s="291"/>
      <c r="L43" s="290"/>
      <c r="M43" s="291"/>
      <c r="N43" s="291"/>
      <c r="O43" s="291"/>
    </row>
    <row r="44" spans="1:18" ht="15" thickBot="1" x14ac:dyDescent="0.45">
      <c r="A44" s="15"/>
      <c r="B44" s="18"/>
      <c r="D44" s="29"/>
      <c r="E44" s="16"/>
      <c r="J44" s="327" t="s">
        <v>274</v>
      </c>
      <c r="K44" s="291"/>
      <c r="L44" s="290"/>
      <c r="M44" s="291"/>
      <c r="N44" s="291"/>
      <c r="O44" s="291"/>
    </row>
    <row r="45" spans="1:18" ht="15" thickBot="1" x14ac:dyDescent="0.45">
      <c r="A45" s="387" t="s">
        <v>107</v>
      </c>
      <c r="B45" s="388"/>
      <c r="C45" s="388"/>
      <c r="D45" s="388"/>
      <c r="E45" s="388"/>
      <c r="F45" s="389"/>
      <c r="G45" s="207"/>
      <c r="H45" s="57"/>
      <c r="I45" s="391" t="s">
        <v>108</v>
      </c>
      <c r="J45" s="392"/>
      <c r="K45" s="392"/>
      <c r="L45" s="392"/>
      <c r="M45" s="392"/>
      <c r="N45" s="392"/>
      <c r="O45" s="392"/>
      <c r="P45" s="392"/>
      <c r="Q45" s="392"/>
      <c r="R45" s="393"/>
    </row>
    <row r="46" spans="1:18" x14ac:dyDescent="0.4">
      <c r="A46" s="299"/>
      <c r="B46" s="12"/>
      <c r="C46" s="12"/>
      <c r="D46" s="20"/>
      <c r="E46" s="20"/>
      <c r="F46" s="300"/>
      <c r="G46" s="50"/>
      <c r="H46" s="12"/>
      <c r="I46" s="55"/>
      <c r="J46" s="255">
        <v>2015</v>
      </c>
      <c r="K46" s="255">
        <v>2015</v>
      </c>
      <c r="L46" s="255">
        <v>2016</v>
      </c>
      <c r="M46" s="255">
        <v>2016</v>
      </c>
      <c r="N46" s="255">
        <v>2017</v>
      </c>
      <c r="O46" s="255">
        <v>2017</v>
      </c>
      <c r="P46" s="341">
        <v>2018</v>
      </c>
      <c r="Q46" s="341">
        <v>2018</v>
      </c>
      <c r="R46" s="104"/>
    </row>
    <row r="47" spans="1:18" x14ac:dyDescent="0.4">
      <c r="A47" s="299"/>
      <c r="B47" s="12"/>
      <c r="C47" s="12"/>
      <c r="D47" s="22" t="s">
        <v>256</v>
      </c>
      <c r="E47" s="220" t="s">
        <v>294</v>
      </c>
      <c r="F47" s="398" t="s">
        <v>182</v>
      </c>
      <c r="G47" s="385"/>
      <c r="H47" s="386"/>
      <c r="I47" s="55"/>
      <c r="J47" s="255" t="s">
        <v>232</v>
      </c>
      <c r="K47" s="255" t="s">
        <v>232</v>
      </c>
      <c r="L47" s="255" t="s">
        <v>233</v>
      </c>
      <c r="M47" s="255" t="s">
        <v>233</v>
      </c>
      <c r="N47" s="255" t="s">
        <v>263</v>
      </c>
      <c r="O47" s="255" t="s">
        <v>263</v>
      </c>
      <c r="P47" s="341" t="s">
        <v>333</v>
      </c>
      <c r="Q47" s="341" t="s">
        <v>333</v>
      </c>
      <c r="R47" s="104" t="s">
        <v>46</v>
      </c>
    </row>
    <row r="48" spans="1:18" x14ac:dyDescent="0.4">
      <c r="A48" s="299"/>
      <c r="B48" s="12"/>
      <c r="C48" s="12"/>
      <c r="D48" s="221">
        <f>B16</f>
        <v>2.8940699999999999E-3</v>
      </c>
      <c r="E48" s="23">
        <f>B17</f>
        <v>3.1264299999999999E-3</v>
      </c>
      <c r="F48" s="399"/>
      <c r="G48" s="385"/>
      <c r="H48" s="386"/>
      <c r="I48" s="105"/>
      <c r="J48" s="235" t="s">
        <v>229</v>
      </c>
      <c r="K48" s="235" t="s">
        <v>98</v>
      </c>
      <c r="L48" s="235" t="s">
        <v>229</v>
      </c>
      <c r="M48" s="235" t="s">
        <v>99</v>
      </c>
      <c r="N48" s="235" t="s">
        <v>264</v>
      </c>
      <c r="O48" s="235" t="s">
        <v>234</v>
      </c>
      <c r="P48" s="96" t="s">
        <v>314</v>
      </c>
      <c r="Q48" s="96" t="s">
        <v>315</v>
      </c>
      <c r="R48" s="106" t="s">
        <v>47</v>
      </c>
    </row>
    <row r="49" spans="1:19" x14ac:dyDescent="0.4">
      <c r="A49" s="299"/>
      <c r="B49" s="12"/>
      <c r="C49" s="12"/>
      <c r="D49" s="12"/>
      <c r="E49" s="12"/>
      <c r="F49" s="300"/>
      <c r="G49" s="50"/>
      <c r="H49" s="12"/>
      <c r="I49" s="105">
        <v>2015</v>
      </c>
      <c r="J49" s="232">
        <v>0</v>
      </c>
      <c r="K49" s="232">
        <v>229</v>
      </c>
      <c r="L49" s="232"/>
      <c r="M49" s="232"/>
      <c r="N49" s="232"/>
      <c r="O49" s="232"/>
      <c r="P49" s="103"/>
      <c r="Q49" s="103"/>
      <c r="R49" s="254">
        <f>SUM(J49:Q49)</f>
        <v>229</v>
      </c>
    </row>
    <row r="50" spans="1:19" x14ac:dyDescent="0.4">
      <c r="A50" s="299"/>
      <c r="B50" s="12"/>
      <c r="C50" s="12"/>
      <c r="D50" s="12"/>
      <c r="E50" s="12"/>
      <c r="F50" s="300"/>
      <c r="G50" s="50"/>
      <c r="H50" s="12"/>
      <c r="I50" s="105">
        <v>2016</v>
      </c>
      <c r="J50" s="232">
        <v>0</v>
      </c>
      <c r="K50" s="232">
        <v>229</v>
      </c>
      <c r="L50" s="232">
        <v>0</v>
      </c>
      <c r="M50" s="232">
        <v>59</v>
      </c>
      <c r="N50" s="232"/>
      <c r="O50" s="232"/>
      <c r="P50" s="103"/>
      <c r="Q50" s="103"/>
      <c r="R50" s="254">
        <f t="shared" ref="R50:R64" si="2">SUM(J50:Q50)</f>
        <v>288</v>
      </c>
    </row>
    <row r="51" spans="1:19" x14ac:dyDescent="0.4">
      <c r="A51" s="299"/>
      <c r="B51" s="12"/>
      <c r="C51" s="12"/>
      <c r="D51" s="12"/>
      <c r="E51" s="12"/>
      <c r="F51" s="300"/>
      <c r="G51" s="50"/>
      <c r="H51" s="12"/>
      <c r="I51" s="105">
        <v>2017</v>
      </c>
      <c r="J51" s="232">
        <v>0</v>
      </c>
      <c r="K51" s="232">
        <v>229</v>
      </c>
      <c r="L51" s="232">
        <v>0</v>
      </c>
      <c r="M51" s="232">
        <v>59</v>
      </c>
      <c r="N51" s="232">
        <v>-83</v>
      </c>
      <c r="O51" s="232">
        <v>0</v>
      </c>
      <c r="P51" s="258"/>
      <c r="Q51" s="258"/>
      <c r="R51" s="254">
        <f t="shared" si="2"/>
        <v>205</v>
      </c>
      <c r="S51" s="131"/>
    </row>
    <row r="52" spans="1:19" ht="15" thickBot="1" x14ac:dyDescent="0.45">
      <c r="A52" s="299" t="s">
        <v>7</v>
      </c>
      <c r="B52" s="12"/>
      <c r="C52" s="12"/>
      <c r="D52" s="24">
        <f>D16</f>
        <v>-56703.513509999997</v>
      </c>
      <c r="E52" s="88">
        <f>D12*$B$17</f>
        <v>-61256.14299</v>
      </c>
      <c r="F52" s="58">
        <f>E52-D52</f>
        <v>-4552.6294800000032</v>
      </c>
      <c r="G52" s="208"/>
      <c r="H52" s="26"/>
      <c r="I52" s="105">
        <v>2018</v>
      </c>
      <c r="J52" s="232">
        <v>0</v>
      </c>
      <c r="K52" s="232">
        <v>229</v>
      </c>
      <c r="L52" s="289">
        <v>0</v>
      </c>
      <c r="M52" s="289">
        <v>59</v>
      </c>
      <c r="N52" s="232">
        <v>-83</v>
      </c>
      <c r="O52" s="289">
        <v>0</v>
      </c>
      <c r="P52" s="258">
        <f t="shared" ref="P52:P63" si="3">IF(F71&lt;0, F71, 0)</f>
        <v>0</v>
      </c>
      <c r="Q52" s="258">
        <f t="shared" ref="Q52:Q63" si="4">IF(F71&gt;0, F71, 0)</f>
        <v>433.98425040650415</v>
      </c>
      <c r="R52" s="254">
        <f t="shared" si="2"/>
        <v>638.98425040650409</v>
      </c>
      <c r="S52" s="131" t="s">
        <v>311</v>
      </c>
    </row>
    <row r="53" spans="1:19" x14ac:dyDescent="0.4">
      <c r="A53" s="299"/>
      <c r="B53" s="12"/>
      <c r="C53" s="12"/>
      <c r="D53" s="24"/>
      <c r="E53" s="88"/>
      <c r="F53" s="58"/>
      <c r="G53" s="208"/>
      <c r="H53" s="26"/>
      <c r="I53" s="105">
        <v>2019</v>
      </c>
      <c r="J53" s="319">
        <v>0</v>
      </c>
      <c r="K53" s="319">
        <v>229</v>
      </c>
      <c r="L53" s="318">
        <v>0</v>
      </c>
      <c r="M53" s="318">
        <v>59</v>
      </c>
      <c r="N53" s="306">
        <v>-83</v>
      </c>
      <c r="O53" s="306">
        <v>0</v>
      </c>
      <c r="P53" s="262">
        <f t="shared" si="3"/>
        <v>0</v>
      </c>
      <c r="Q53" s="262">
        <f t="shared" si="4"/>
        <v>433.98425040650415</v>
      </c>
      <c r="R53" s="323">
        <f t="shared" si="2"/>
        <v>638.98425040650409</v>
      </c>
      <c r="S53" s="131"/>
    </row>
    <row r="54" spans="1:19" x14ac:dyDescent="0.4">
      <c r="A54" s="299"/>
      <c r="B54" s="12"/>
      <c r="C54" s="12"/>
      <c r="D54" s="25"/>
      <c r="E54" s="25"/>
      <c r="F54" s="58"/>
      <c r="G54" s="209"/>
      <c r="H54" s="25"/>
      <c r="I54" s="105">
        <v>2020</v>
      </c>
      <c r="J54" s="234">
        <v>0</v>
      </c>
      <c r="K54" s="234">
        <v>229</v>
      </c>
      <c r="L54" s="234">
        <v>0</v>
      </c>
      <c r="M54" s="308">
        <v>59</v>
      </c>
      <c r="N54" s="307">
        <v>-83</v>
      </c>
      <c r="O54" s="308">
        <v>0</v>
      </c>
      <c r="P54" s="263">
        <f t="shared" si="3"/>
        <v>0</v>
      </c>
      <c r="Q54" s="263">
        <f t="shared" si="4"/>
        <v>433.98425040650415</v>
      </c>
      <c r="R54" s="355">
        <f t="shared" si="2"/>
        <v>638.98425040650409</v>
      </c>
      <c r="S54" s="131"/>
    </row>
    <row r="55" spans="1:19" x14ac:dyDescent="0.4">
      <c r="A55" s="299" t="s">
        <v>8</v>
      </c>
      <c r="B55" s="12"/>
      <c r="C55" s="12"/>
      <c r="D55" s="25">
        <f>H16</f>
        <v>34016.898779999996</v>
      </c>
      <c r="E55" s="88">
        <f>H12*$B$17</f>
        <v>36748.058219999999</v>
      </c>
      <c r="F55" s="58">
        <f>E55-D55</f>
        <v>2731.1594400000031</v>
      </c>
      <c r="G55" s="208"/>
      <c r="H55" s="26"/>
      <c r="I55" s="105">
        <v>2021</v>
      </c>
      <c r="J55" s="234">
        <v>0</v>
      </c>
      <c r="K55" s="234">
        <v>229</v>
      </c>
      <c r="L55" s="234">
        <v>0</v>
      </c>
      <c r="M55" s="308">
        <v>59</v>
      </c>
      <c r="N55" s="307">
        <v>-83</v>
      </c>
      <c r="O55" s="308">
        <v>0</v>
      </c>
      <c r="P55" s="263">
        <f t="shared" si="3"/>
        <v>0</v>
      </c>
      <c r="Q55" s="263">
        <f t="shared" si="4"/>
        <v>433.98425040650415</v>
      </c>
      <c r="R55" s="355">
        <f t="shared" si="2"/>
        <v>638.98425040650409</v>
      </c>
    </row>
    <row r="56" spans="1:19" x14ac:dyDescent="0.4">
      <c r="A56" s="299"/>
      <c r="B56" s="12"/>
      <c r="C56" s="12"/>
      <c r="D56" s="25"/>
      <c r="E56" s="88"/>
      <c r="F56" s="58"/>
      <c r="G56" s="208"/>
      <c r="H56" s="26"/>
      <c r="I56" s="105">
        <v>2022</v>
      </c>
      <c r="J56" s="234"/>
      <c r="K56" s="234"/>
      <c r="L56" s="234">
        <v>0</v>
      </c>
      <c r="M56" s="308">
        <v>49</v>
      </c>
      <c r="N56" s="307">
        <v>-83</v>
      </c>
      <c r="O56" s="308">
        <v>0</v>
      </c>
      <c r="P56" s="263">
        <f t="shared" si="3"/>
        <v>0</v>
      </c>
      <c r="Q56" s="263">
        <f t="shared" si="4"/>
        <v>433.98425040650415</v>
      </c>
      <c r="R56" s="355">
        <f t="shared" si="2"/>
        <v>399.98425040650415</v>
      </c>
    </row>
    <row r="57" spans="1:19" x14ac:dyDescent="0.4">
      <c r="A57" s="299"/>
      <c r="B57" s="12"/>
      <c r="C57" s="12"/>
      <c r="D57" s="25"/>
      <c r="E57" s="25"/>
      <c r="F57" s="58"/>
      <c r="G57" s="209"/>
      <c r="H57" s="25"/>
      <c r="I57" s="105">
        <v>2023</v>
      </c>
      <c r="J57" s="234"/>
      <c r="K57" s="234"/>
      <c r="L57" s="234"/>
      <c r="M57" s="308"/>
      <c r="N57" s="307">
        <v>-83</v>
      </c>
      <c r="O57" s="308">
        <v>0</v>
      </c>
      <c r="P57" s="263">
        <f t="shared" si="3"/>
        <v>0</v>
      </c>
      <c r="Q57" s="263">
        <f t="shared" si="4"/>
        <v>433.98425040650415</v>
      </c>
      <c r="R57" s="355">
        <f t="shared" si="2"/>
        <v>350.98425040650415</v>
      </c>
    </row>
    <row r="58" spans="1:19" x14ac:dyDescent="0.4">
      <c r="A58" s="299" t="s">
        <v>9</v>
      </c>
      <c r="B58" s="12"/>
      <c r="C58" s="12"/>
      <c r="D58" s="24">
        <f>L16</f>
        <v>-43798.855380000001</v>
      </c>
      <c r="E58" s="8">
        <f>L12*$B$17</f>
        <v>-47315.391620000002</v>
      </c>
      <c r="F58" s="317">
        <f>E58-D58</f>
        <v>-3516.5362400000013</v>
      </c>
      <c r="G58" s="208"/>
      <c r="H58" s="26"/>
      <c r="I58" s="105">
        <v>2024</v>
      </c>
      <c r="J58" s="234"/>
      <c r="K58" s="234"/>
      <c r="L58" s="234"/>
      <c r="M58" s="308"/>
      <c r="N58" s="307">
        <v>-83</v>
      </c>
      <c r="O58" s="308">
        <v>0</v>
      </c>
      <c r="P58" s="263">
        <f t="shared" si="3"/>
        <v>0</v>
      </c>
      <c r="Q58" s="263">
        <f t="shared" si="4"/>
        <v>433.98425040650415</v>
      </c>
      <c r="R58" s="355">
        <f t="shared" si="2"/>
        <v>350.98425040650415</v>
      </c>
    </row>
    <row r="59" spans="1:19" x14ac:dyDescent="0.4">
      <c r="A59" s="299"/>
      <c r="B59" s="12"/>
      <c r="C59" s="12"/>
      <c r="D59" s="24"/>
      <c r="E59" s="8"/>
      <c r="F59" s="58"/>
      <c r="G59" s="208"/>
      <c r="H59" s="26"/>
      <c r="I59" s="105">
        <v>2025</v>
      </c>
      <c r="J59" s="234"/>
      <c r="K59" s="234"/>
      <c r="L59" s="234"/>
      <c r="M59" s="308"/>
      <c r="N59" s="307">
        <v>-83</v>
      </c>
      <c r="O59" s="308">
        <v>0</v>
      </c>
      <c r="P59" s="263">
        <f t="shared" si="3"/>
        <v>0</v>
      </c>
      <c r="Q59" s="263">
        <f t="shared" si="4"/>
        <v>433.98425040650415</v>
      </c>
      <c r="R59" s="355">
        <f t="shared" si="2"/>
        <v>350.98425040650415</v>
      </c>
    </row>
    <row r="60" spans="1:19" x14ac:dyDescent="0.4">
      <c r="A60" s="299"/>
      <c r="B60" s="12"/>
      <c r="C60" s="12"/>
      <c r="D60" s="25"/>
      <c r="E60" s="25"/>
      <c r="F60" s="59"/>
      <c r="G60" s="209"/>
      <c r="H60" s="25"/>
      <c r="I60" s="105">
        <v>2026</v>
      </c>
      <c r="J60" s="234"/>
      <c r="K60" s="234"/>
      <c r="L60" s="234"/>
      <c r="M60" s="308"/>
      <c r="N60" s="307">
        <v>-83</v>
      </c>
      <c r="O60" s="308">
        <v>0</v>
      </c>
      <c r="P60" s="263">
        <f t="shared" si="3"/>
        <v>0</v>
      </c>
      <c r="Q60" s="263">
        <f t="shared" si="4"/>
        <v>433.98425040650415</v>
      </c>
      <c r="R60" s="355">
        <f t="shared" si="2"/>
        <v>350.98425040650415</v>
      </c>
    </row>
    <row r="61" spans="1:19" ht="15" thickBot="1" x14ac:dyDescent="0.45">
      <c r="A61" s="299" t="s">
        <v>10</v>
      </c>
      <c r="B61" s="12"/>
      <c r="C61" s="12"/>
      <c r="D61" s="25"/>
      <c r="E61" s="25"/>
      <c r="F61" s="60">
        <f>SUM(F52:F60)</f>
        <v>-5338.0062800000014</v>
      </c>
      <c r="G61" s="208"/>
      <c r="H61" s="26"/>
      <c r="I61" s="105">
        <v>2027</v>
      </c>
      <c r="J61" s="234"/>
      <c r="K61" s="234"/>
      <c r="L61" s="234"/>
      <c r="M61" s="308"/>
      <c r="N61" s="307">
        <v>-83</v>
      </c>
      <c r="O61" s="308">
        <v>0</v>
      </c>
      <c r="P61" s="263">
        <f t="shared" si="3"/>
        <v>0</v>
      </c>
      <c r="Q61" s="263">
        <f t="shared" si="4"/>
        <v>433.98425040650415</v>
      </c>
      <c r="R61" s="355">
        <f t="shared" si="2"/>
        <v>350.98425040650415</v>
      </c>
    </row>
    <row r="62" spans="1:19" ht="15" thickTop="1" x14ac:dyDescent="0.4">
      <c r="A62" s="299"/>
      <c r="B62" s="12"/>
      <c r="C62" s="12"/>
      <c r="D62" s="25"/>
      <c r="E62" s="25"/>
      <c r="F62" s="58"/>
      <c r="G62" s="208"/>
      <c r="H62" s="26"/>
      <c r="I62" s="105">
        <v>2028</v>
      </c>
      <c r="J62" s="234"/>
      <c r="K62" s="234"/>
      <c r="L62" s="234"/>
      <c r="M62" s="308"/>
      <c r="N62" s="307">
        <v>-83</v>
      </c>
      <c r="O62" s="308">
        <v>0</v>
      </c>
      <c r="P62" s="263">
        <f t="shared" si="3"/>
        <v>0</v>
      </c>
      <c r="Q62" s="263">
        <f t="shared" si="4"/>
        <v>433.98425040650415</v>
      </c>
      <c r="R62" s="355">
        <f t="shared" si="2"/>
        <v>350.98425040650415</v>
      </c>
    </row>
    <row r="63" spans="1:19" x14ac:dyDescent="0.4">
      <c r="A63" s="340"/>
      <c r="B63" s="12"/>
      <c r="C63" s="12"/>
      <c r="D63" s="25"/>
      <c r="E63" s="25"/>
      <c r="F63" s="58"/>
      <c r="G63" s="208"/>
      <c r="H63" s="26"/>
      <c r="I63" s="105">
        <v>2029</v>
      </c>
      <c r="J63" s="234"/>
      <c r="K63" s="234"/>
      <c r="L63" s="234"/>
      <c r="M63" s="308"/>
      <c r="N63" s="307">
        <v>-41</v>
      </c>
      <c r="O63" s="308">
        <v>0</v>
      </c>
      <c r="P63" s="263">
        <f t="shared" si="3"/>
        <v>0</v>
      </c>
      <c r="Q63" s="263">
        <f t="shared" si="4"/>
        <v>433.98425040650415</v>
      </c>
      <c r="R63" s="355">
        <f t="shared" si="2"/>
        <v>392.98425040650415</v>
      </c>
    </row>
    <row r="64" spans="1:19" x14ac:dyDescent="0.4">
      <c r="A64" s="299"/>
      <c r="B64" s="12"/>
      <c r="C64" s="12"/>
      <c r="D64" s="25"/>
      <c r="E64" s="25"/>
      <c r="F64" s="58"/>
      <c r="G64" s="208"/>
      <c r="H64" s="26"/>
      <c r="I64" s="105">
        <v>2030</v>
      </c>
      <c r="J64" s="347"/>
      <c r="K64" s="347"/>
      <c r="L64" s="347"/>
      <c r="M64" s="354"/>
      <c r="N64" s="354"/>
      <c r="O64" s="354"/>
      <c r="P64" s="264">
        <f t="shared" ref="P64" si="5">IF(F83&lt;0, F83, 0)</f>
        <v>0</v>
      </c>
      <c r="Q64" s="264">
        <f t="shared" ref="Q64" si="6">IF(F83&gt;0, F83, 0)</f>
        <v>130.19527512195054</v>
      </c>
      <c r="R64" s="356">
        <f t="shared" si="2"/>
        <v>130.19527512195054</v>
      </c>
    </row>
    <row r="65" spans="1:18" ht="15" thickBot="1" x14ac:dyDescent="0.45">
      <c r="A65" s="299"/>
      <c r="B65" s="12"/>
      <c r="C65" s="12"/>
      <c r="D65" s="12"/>
      <c r="E65" s="12"/>
      <c r="F65" s="300"/>
      <c r="G65" s="50"/>
      <c r="H65" s="12"/>
      <c r="I65" s="108" t="s">
        <v>310</v>
      </c>
      <c r="J65" s="100">
        <f t="shared" ref="J65:R65" si="7">SUM(J53:J64)</f>
        <v>0</v>
      </c>
      <c r="K65" s="100">
        <f t="shared" si="7"/>
        <v>687</v>
      </c>
      <c r="L65" s="100">
        <f t="shared" si="7"/>
        <v>0</v>
      </c>
      <c r="M65" s="100">
        <f t="shared" si="7"/>
        <v>226</v>
      </c>
      <c r="N65" s="100">
        <f t="shared" si="7"/>
        <v>-871</v>
      </c>
      <c r="O65" s="100">
        <f t="shared" si="7"/>
        <v>0</v>
      </c>
      <c r="P65" s="100">
        <f t="shared" si="7"/>
        <v>0</v>
      </c>
      <c r="Q65" s="100">
        <f t="shared" si="7"/>
        <v>4904.0220295934969</v>
      </c>
      <c r="R65" s="100">
        <f t="shared" si="7"/>
        <v>4946.022029593496</v>
      </c>
    </row>
    <row r="66" spans="1:18" ht="65.150000000000006" customHeight="1" thickBot="1" x14ac:dyDescent="0.45">
      <c r="A66" s="381" t="s">
        <v>11</v>
      </c>
      <c r="B66" s="382"/>
      <c r="C66" s="382"/>
      <c r="D66" s="12"/>
      <c r="E66" s="12"/>
      <c r="F66" s="222">
        <f>-F61</f>
        <v>5338.0062800000014</v>
      </c>
      <c r="G66" s="208"/>
      <c r="H66" s="26"/>
      <c r="I66" s="383" t="s">
        <v>58</v>
      </c>
      <c r="J66" s="383"/>
      <c r="K66" s="383"/>
      <c r="L66" s="383"/>
    </row>
    <row r="67" spans="1:18" ht="15" customHeight="1" x14ac:dyDescent="0.4">
      <c r="A67" s="299"/>
      <c r="B67" s="12"/>
      <c r="C67" s="12"/>
      <c r="D67" s="12"/>
      <c r="E67" s="12"/>
      <c r="F67" s="300"/>
      <c r="G67" s="50"/>
      <c r="H67" s="12"/>
      <c r="K67" s="115" t="s">
        <v>18</v>
      </c>
      <c r="L67" s="115" t="s">
        <v>57</v>
      </c>
    </row>
    <row r="68" spans="1:18" ht="15" thickBot="1" x14ac:dyDescent="0.45">
      <c r="A68" s="61" t="s">
        <v>174</v>
      </c>
      <c r="B68" s="12"/>
      <c r="C68" s="12"/>
      <c r="D68" s="12"/>
      <c r="E68" s="12"/>
      <c r="F68" s="58">
        <f>SUM(F61:F67)</f>
        <v>0</v>
      </c>
      <c r="G68" s="208"/>
      <c r="H68" s="26"/>
      <c r="K68" s="116" t="s">
        <v>56</v>
      </c>
      <c r="L68" s="116" t="s">
        <v>56</v>
      </c>
    </row>
    <row r="69" spans="1:18" ht="15" thickBot="1" x14ac:dyDescent="0.45">
      <c r="A69" s="299"/>
      <c r="B69" s="12"/>
      <c r="C69" s="12"/>
      <c r="D69" s="12"/>
      <c r="E69" s="12"/>
      <c r="F69" s="300"/>
      <c r="G69" s="50"/>
      <c r="H69" s="12"/>
      <c r="I69" s="371" t="s">
        <v>54</v>
      </c>
      <c r="J69" s="372"/>
      <c r="K69" s="75"/>
      <c r="L69" s="75"/>
    </row>
    <row r="70" spans="1:18" ht="28.5" customHeight="1" x14ac:dyDescent="0.4">
      <c r="A70" s="213" t="s">
        <v>180</v>
      </c>
      <c r="B70" s="48"/>
      <c r="C70" s="48"/>
      <c r="D70" s="215" t="s">
        <v>181</v>
      </c>
      <c r="E70" s="400" t="s">
        <v>313</v>
      </c>
      <c r="F70" s="401"/>
      <c r="G70" s="50"/>
      <c r="H70" s="12"/>
      <c r="I70" s="373"/>
      <c r="J70" s="374"/>
      <c r="K70" s="117">
        <f>E17</f>
        <v>28729.41869387</v>
      </c>
      <c r="L70" s="118">
        <f>I17</f>
        <v>-3974.2928045599997</v>
      </c>
    </row>
    <row r="71" spans="1:18" ht="14.7" customHeight="1" thickBot="1" x14ac:dyDescent="0.45">
      <c r="A71" s="213" t="s">
        <v>175</v>
      </c>
      <c r="B71" s="12"/>
      <c r="C71" s="12"/>
      <c r="D71" s="12"/>
      <c r="E71" s="299">
        <v>2018</v>
      </c>
      <c r="F71" s="73">
        <f>F66/12.3</f>
        <v>433.98425040650415</v>
      </c>
      <c r="G71" s="50"/>
      <c r="H71" s="12"/>
      <c r="I71" s="110"/>
      <c r="J71" s="111"/>
      <c r="K71" s="80"/>
      <c r="L71" s="80"/>
    </row>
    <row r="72" spans="1:18" x14ac:dyDescent="0.4">
      <c r="A72" s="213" t="s">
        <v>176</v>
      </c>
      <c r="B72" s="12"/>
      <c r="C72" s="12"/>
      <c r="D72" s="12"/>
      <c r="E72" s="299">
        <v>2019</v>
      </c>
      <c r="F72" s="73">
        <f>F66/12.3</f>
        <v>433.98425040650415</v>
      </c>
      <c r="G72" s="50"/>
      <c r="H72" s="12"/>
      <c r="I72" s="371" t="s">
        <v>59</v>
      </c>
      <c r="J72" s="372"/>
      <c r="K72" s="75"/>
      <c r="L72" s="75"/>
    </row>
    <row r="73" spans="1:18" x14ac:dyDescent="0.4">
      <c r="A73" s="213"/>
      <c r="B73" s="12"/>
      <c r="C73" s="12"/>
      <c r="D73" s="12"/>
      <c r="E73" s="55">
        <v>2020</v>
      </c>
      <c r="F73" s="73">
        <f>F66/12.3</f>
        <v>433.98425040650415</v>
      </c>
      <c r="G73" s="50"/>
      <c r="H73" s="12"/>
      <c r="I73" s="373"/>
      <c r="J73" s="374"/>
      <c r="K73" s="77"/>
      <c r="L73" s="77"/>
    </row>
    <row r="74" spans="1:18" x14ac:dyDescent="0.4">
      <c r="A74" s="213" t="s">
        <v>177</v>
      </c>
      <c r="B74" s="50"/>
      <c r="C74" s="12"/>
      <c r="D74" s="12"/>
      <c r="E74" s="55">
        <v>2021</v>
      </c>
      <c r="F74" s="73">
        <f>F66/12.3</f>
        <v>433.98425040650415</v>
      </c>
      <c r="G74" s="50"/>
      <c r="H74" s="12"/>
      <c r="I74" s="373"/>
      <c r="J74" s="374"/>
      <c r="K74" s="117">
        <f>F17</f>
        <v>0</v>
      </c>
      <c r="L74" s="118">
        <f>J17</f>
        <v>-52231.124405449998</v>
      </c>
      <c r="M74" s="257" t="s">
        <v>238</v>
      </c>
      <c r="N74" s="256">
        <f>SUM(K70:L83)</f>
        <v>-46086.81679117649</v>
      </c>
      <c r="O74" s="257"/>
      <c r="P74" s="256"/>
      <c r="Q74" s="257"/>
      <c r="R74" s="256"/>
    </row>
    <row r="75" spans="1:18" x14ac:dyDescent="0.4">
      <c r="A75" s="213" t="s">
        <v>178</v>
      </c>
      <c r="B75" s="50"/>
      <c r="C75" s="12"/>
      <c r="D75" s="12"/>
      <c r="E75" s="55">
        <v>2022</v>
      </c>
      <c r="F75" s="73">
        <f>F66/12.3</f>
        <v>433.98425040650415</v>
      </c>
      <c r="G75" s="50"/>
      <c r="H75" s="12"/>
      <c r="I75" s="136"/>
      <c r="J75" s="137"/>
      <c r="K75" s="117"/>
      <c r="L75" s="118"/>
      <c r="N75" s="15" t="s">
        <v>196</v>
      </c>
      <c r="P75" s="15"/>
      <c r="R75" s="15"/>
    </row>
    <row r="76" spans="1:18" ht="15" thickBot="1" x14ac:dyDescent="0.45">
      <c r="A76" s="214" t="s">
        <v>179</v>
      </c>
      <c r="B76" s="50"/>
      <c r="C76" s="50"/>
      <c r="D76" s="50"/>
      <c r="E76" s="301">
        <v>2023</v>
      </c>
      <c r="F76" s="73">
        <f>F66/12.3</f>
        <v>433.98425040650415</v>
      </c>
      <c r="G76" s="50"/>
      <c r="H76" s="12"/>
      <c r="I76" s="112"/>
      <c r="J76" s="66"/>
      <c r="K76" s="80"/>
      <c r="L76" s="80"/>
      <c r="N76" s="15" t="s">
        <v>84</v>
      </c>
      <c r="P76" s="15"/>
      <c r="R76" s="15"/>
    </row>
    <row r="77" spans="1:18" x14ac:dyDescent="0.4">
      <c r="A77" s="62"/>
      <c r="B77" s="51"/>
      <c r="C77" s="52"/>
      <c r="D77" s="52"/>
      <c r="E77" s="301">
        <v>2024</v>
      </c>
      <c r="F77" s="73">
        <f>F66/12.3</f>
        <v>433.98425040650415</v>
      </c>
      <c r="G77" s="50"/>
      <c r="H77" s="12"/>
      <c r="I77" s="377" t="s">
        <v>60</v>
      </c>
      <c r="J77" s="378"/>
      <c r="K77" s="119">
        <f>G17</f>
        <v>414.42392864999999</v>
      </c>
      <c r="L77" s="120">
        <f>K17</f>
        <v>-23971.264233279999</v>
      </c>
      <c r="N77" s="15" t="s">
        <v>85</v>
      </c>
      <c r="P77" s="15"/>
      <c r="R77" s="15"/>
    </row>
    <row r="78" spans="1:18" ht="15" thickBot="1" x14ac:dyDescent="0.45">
      <c r="A78" s="62"/>
      <c r="B78" s="28"/>
      <c r="C78" s="27"/>
      <c r="D78" s="27"/>
      <c r="E78" s="302">
        <v>2025</v>
      </c>
      <c r="F78" s="73">
        <f>F66/12.3</f>
        <v>433.98425040650415</v>
      </c>
      <c r="G78" s="50"/>
      <c r="H78" s="12"/>
      <c r="I78" s="112"/>
      <c r="J78" s="66"/>
      <c r="K78" s="80"/>
      <c r="L78" s="80"/>
      <c r="N78" s="15" t="s">
        <v>138</v>
      </c>
      <c r="P78" s="15"/>
      <c r="R78" s="15"/>
    </row>
    <row r="79" spans="1:18" x14ac:dyDescent="0.4">
      <c r="A79" s="62"/>
      <c r="B79" s="27"/>
      <c r="C79" s="27"/>
      <c r="D79" s="27"/>
      <c r="E79" s="301">
        <v>2026</v>
      </c>
      <c r="F79" s="73">
        <f>F66/12.3</f>
        <v>433.98425040650415</v>
      </c>
      <c r="G79" s="50"/>
      <c r="H79" s="12"/>
      <c r="I79" s="371" t="s">
        <v>61</v>
      </c>
      <c r="J79" s="372"/>
      <c r="K79" s="75"/>
      <c r="L79" s="75"/>
    </row>
    <row r="80" spans="1:18" x14ac:dyDescent="0.4">
      <c r="A80" s="299"/>
      <c r="B80" s="12"/>
      <c r="C80" s="12"/>
      <c r="D80" s="12"/>
      <c r="E80" s="303">
        <v>2027</v>
      </c>
      <c r="F80" s="73">
        <f>F66/12.3</f>
        <v>433.98425040650415</v>
      </c>
      <c r="I80" s="373"/>
      <c r="J80" s="374"/>
      <c r="K80" s="77"/>
      <c r="L80" s="77"/>
    </row>
    <row r="81" spans="1:17" x14ac:dyDescent="0.4">
      <c r="A81" s="299"/>
      <c r="B81" s="12"/>
      <c r="C81" s="12"/>
      <c r="D81" s="12"/>
      <c r="E81" s="303">
        <v>2028</v>
      </c>
      <c r="F81" s="73">
        <f>F66/12.3</f>
        <v>433.98425040650415</v>
      </c>
      <c r="I81" s="373"/>
      <c r="J81" s="374"/>
      <c r="K81" s="77"/>
      <c r="L81" s="77"/>
    </row>
    <row r="82" spans="1:17" x14ac:dyDescent="0.4">
      <c r="A82" s="299"/>
      <c r="B82" s="12"/>
      <c r="C82" s="12"/>
      <c r="D82" s="12"/>
      <c r="E82" s="303">
        <v>2029</v>
      </c>
      <c r="F82" s="73">
        <f>F66/12.3</f>
        <v>433.98425040650415</v>
      </c>
      <c r="I82" s="373"/>
      <c r="J82" s="374"/>
      <c r="K82" s="117">
        <f>K65+M65+O65+Q65</f>
        <v>5817.0220295934969</v>
      </c>
      <c r="L82" s="118">
        <f>J65+L65+N65+P65</f>
        <v>-871</v>
      </c>
    </row>
    <row r="83" spans="1:17" ht="15" thickBot="1" x14ac:dyDescent="0.45">
      <c r="A83" s="299"/>
      <c r="B83" s="12"/>
      <c r="C83" s="12"/>
      <c r="D83" s="12"/>
      <c r="E83" s="303">
        <v>2030</v>
      </c>
      <c r="F83" s="138">
        <f>F84-SUM(F71:F82)</f>
        <v>130.19527512195054</v>
      </c>
      <c r="I83" s="112"/>
      <c r="J83" s="66"/>
      <c r="K83" s="80"/>
      <c r="L83" s="80"/>
    </row>
    <row r="84" spans="1:17" ht="15" thickBot="1" x14ac:dyDescent="0.45">
      <c r="A84" s="299"/>
      <c r="B84" s="12"/>
      <c r="C84" s="12"/>
      <c r="D84" s="12"/>
      <c r="E84" s="304"/>
      <c r="F84" s="305">
        <f>F66</f>
        <v>5338.0062800000014</v>
      </c>
      <c r="I84" s="371" t="s">
        <v>62</v>
      </c>
      <c r="J84" s="372"/>
      <c r="K84" s="75"/>
      <c r="L84" s="75"/>
    </row>
    <row r="85" spans="1:17" x14ac:dyDescent="0.4">
      <c r="A85" s="299"/>
      <c r="B85" s="12"/>
      <c r="C85" s="12"/>
      <c r="D85" s="12"/>
      <c r="E85" s="12"/>
      <c r="F85" s="300"/>
      <c r="I85" s="373"/>
      <c r="J85" s="374"/>
      <c r="K85" s="117">
        <f>D20</f>
        <v>41018</v>
      </c>
      <c r="L85" s="77"/>
    </row>
    <row r="86" spans="1:17" ht="15" thickBot="1" x14ac:dyDescent="0.45">
      <c r="A86" s="112"/>
      <c r="B86" s="65"/>
      <c r="C86" s="65"/>
      <c r="D86" s="65"/>
      <c r="E86" s="65"/>
      <c r="F86" s="66"/>
      <c r="I86" s="112"/>
      <c r="J86" s="66"/>
      <c r="K86" s="80"/>
      <c r="L86" s="80"/>
    </row>
    <row r="87" spans="1:17" ht="15" thickBot="1" x14ac:dyDescent="0.45">
      <c r="I87" s="113" t="s">
        <v>63</v>
      </c>
      <c r="J87" s="114"/>
      <c r="K87" s="121">
        <f>SUM(K70:K86)</f>
        <v>75978.864652113494</v>
      </c>
      <c r="L87" s="121">
        <f>SUM(L70:L86)</f>
        <v>-81047.681443289999</v>
      </c>
    </row>
    <row r="88" spans="1:17" ht="15" thickBot="1" x14ac:dyDescent="0.45"/>
    <row r="89" spans="1:17" x14ac:dyDescent="0.4">
      <c r="J89" s="160" t="s">
        <v>139</v>
      </c>
      <c r="K89" s="12"/>
      <c r="L89" s="115" t="s">
        <v>68</v>
      </c>
      <c r="M89" s="115" t="s">
        <v>35</v>
      </c>
      <c r="N89" s="50"/>
      <c r="O89" s="50"/>
      <c r="P89" s="50"/>
      <c r="Q89" s="50"/>
    </row>
    <row r="90" spans="1:17" ht="15" thickBot="1" x14ac:dyDescent="0.45">
      <c r="A90" s="1" t="s">
        <v>102</v>
      </c>
      <c r="E90" s="6"/>
      <c r="J90" s="12"/>
      <c r="K90" s="12"/>
      <c r="L90" s="124" t="s">
        <v>69</v>
      </c>
      <c r="M90" s="157"/>
      <c r="N90" s="8"/>
      <c r="O90" s="8"/>
      <c r="P90" s="8"/>
      <c r="Q90" s="8"/>
    </row>
    <row r="91" spans="1:17" ht="15" thickBot="1" x14ac:dyDescent="0.45">
      <c r="A91" s="1"/>
      <c r="J91" s="12"/>
      <c r="K91" s="12"/>
      <c r="L91" s="158">
        <v>2019</v>
      </c>
      <c r="M91" s="125">
        <f>'6 - Amort - Notes'!Z65</f>
        <v>-313.04494889349485</v>
      </c>
      <c r="N91" s="20"/>
      <c r="O91" s="20"/>
      <c r="P91" s="20"/>
      <c r="Q91" s="20"/>
    </row>
    <row r="92" spans="1:17" ht="15" thickBot="1" x14ac:dyDescent="0.45">
      <c r="B92" s="89"/>
      <c r="C92" s="89"/>
      <c r="D92" s="89"/>
      <c r="E92" s="90" t="s">
        <v>86</v>
      </c>
      <c r="F92" s="89"/>
      <c r="G92" s="90" t="s">
        <v>88</v>
      </c>
      <c r="H92" s="89"/>
      <c r="I92" s="90">
        <v>2018</v>
      </c>
      <c r="J92" s="150"/>
      <c r="K92" s="150"/>
      <c r="L92" s="158">
        <v>2020</v>
      </c>
      <c r="M92" s="125">
        <f>'6 - Amort - Notes'!Z66</f>
        <v>-5900.022255343496</v>
      </c>
      <c r="N92" s="20"/>
      <c r="O92" s="20"/>
      <c r="P92" s="20"/>
      <c r="Q92" s="20"/>
    </row>
    <row r="93" spans="1:17" ht="15" thickBot="1" x14ac:dyDescent="0.45">
      <c r="B93" s="92" t="s">
        <v>20</v>
      </c>
      <c r="C93" s="92"/>
      <c r="D93" s="92" t="s">
        <v>21</v>
      </c>
      <c r="E93" s="92" t="s">
        <v>87</v>
      </c>
      <c r="F93" s="92" t="s">
        <v>22</v>
      </c>
      <c r="G93" s="92" t="s">
        <v>89</v>
      </c>
      <c r="H93" s="92" t="s">
        <v>23</v>
      </c>
      <c r="I93" s="92" t="s">
        <v>27</v>
      </c>
      <c r="J93" s="150"/>
      <c r="K93" s="150"/>
      <c r="L93" s="158">
        <v>2021</v>
      </c>
      <c r="M93" s="125">
        <f>'6 - Amort - Notes'!Z67</f>
        <v>-17002.062725383497</v>
      </c>
      <c r="N93" s="20"/>
      <c r="O93" s="20"/>
      <c r="P93" s="20"/>
      <c r="Q93" s="20"/>
    </row>
    <row r="94" spans="1:17" ht="15" thickBot="1" x14ac:dyDescent="0.45">
      <c r="A94" s="84">
        <v>42736</v>
      </c>
      <c r="B94" s="16">
        <f>D16</f>
        <v>-56703.513509999997</v>
      </c>
      <c r="C94" s="16"/>
      <c r="D94" s="16">
        <f>H16</f>
        <v>34016.898779999996</v>
      </c>
      <c r="E94" s="16">
        <f>D19</f>
        <v>43663</v>
      </c>
      <c r="F94" s="16">
        <f>L16</f>
        <v>-43798.855380000001</v>
      </c>
      <c r="G94" s="88">
        <f>SUM(J52:O63)</f>
        <v>247</v>
      </c>
      <c r="H94" s="16"/>
      <c r="I94" s="16"/>
      <c r="J94" s="150"/>
      <c r="K94" s="150"/>
      <c r="L94" s="159">
        <v>2022</v>
      </c>
      <c r="M94" s="125">
        <f>'6 - Amort - Notes'!Z68</f>
        <v>-8602.4646359734961</v>
      </c>
      <c r="N94" s="20"/>
      <c r="O94" s="20"/>
      <c r="P94" s="20"/>
      <c r="Q94" s="20"/>
    </row>
    <row r="95" spans="1:17" ht="15" thickBot="1" x14ac:dyDescent="0.45">
      <c r="A95" s="84">
        <v>43100</v>
      </c>
      <c r="B95" s="82">
        <f>D17</f>
        <v>-3873.6467699999998</v>
      </c>
      <c r="C95" s="82"/>
      <c r="D95" s="82">
        <f>H17</f>
        <v>29143.842622519998</v>
      </c>
      <c r="E95" s="82">
        <f>D20</f>
        <v>41018</v>
      </c>
      <c r="F95" s="82">
        <f>L17</f>
        <v>-80176.681443289999</v>
      </c>
      <c r="G95" s="266">
        <f>R65</f>
        <v>4946.022029593496</v>
      </c>
      <c r="H95" s="82"/>
      <c r="I95" s="20"/>
      <c r="J95" s="236" t="s">
        <v>209</v>
      </c>
      <c r="K95" s="150"/>
      <c r="L95" s="159">
        <v>2023</v>
      </c>
      <c r="M95" s="125">
        <f>'6 - Amort - Notes'!Z69</f>
        <v>-2004.3680658334956</v>
      </c>
      <c r="N95" s="20"/>
      <c r="O95" s="20"/>
      <c r="P95" s="20"/>
      <c r="Q95" s="20"/>
    </row>
    <row r="96" spans="1:17" ht="15" thickBot="1" x14ac:dyDescent="0.45">
      <c r="A96" s="81" t="s">
        <v>28</v>
      </c>
      <c r="B96" s="11">
        <f>B94-B95</f>
        <v>-52829.866739999998</v>
      </c>
      <c r="C96" s="16"/>
      <c r="D96" s="11">
        <f>D94-D95</f>
        <v>4873.0561574799976</v>
      </c>
      <c r="E96" s="11">
        <f>E94-E95</f>
        <v>2645</v>
      </c>
      <c r="F96" s="11">
        <f>F94-F95</f>
        <v>36377.826063289998</v>
      </c>
      <c r="G96" s="11">
        <f>G94-G95</f>
        <v>-4699.022029593496</v>
      </c>
      <c r="H96" s="20">
        <f>SUM(B96:G96)</f>
        <v>-13633.006548823501</v>
      </c>
      <c r="I96" s="226">
        <v>80000</v>
      </c>
      <c r="J96" s="236" t="s">
        <v>296</v>
      </c>
      <c r="K96" s="12"/>
      <c r="L96" s="123" t="s">
        <v>137</v>
      </c>
      <c r="M96" s="125">
        <f>'6 - Amort - Notes'!Z70</f>
        <v>-12264.854159749022</v>
      </c>
      <c r="N96" s="20"/>
      <c r="O96" s="20"/>
      <c r="P96" s="20"/>
      <c r="Q96" s="20"/>
    </row>
    <row r="97" spans="1:17" ht="15" thickBot="1" x14ac:dyDescent="0.45">
      <c r="J97" s="237" t="s">
        <v>210</v>
      </c>
      <c r="K97" s="150"/>
      <c r="L97" s="161" t="s">
        <v>63</v>
      </c>
      <c r="M97" s="126">
        <f>SUM(M91:M96)</f>
        <v>-46086.816791176505</v>
      </c>
      <c r="N97" s="278"/>
      <c r="O97" s="278"/>
      <c r="P97" s="278"/>
      <c r="Q97" s="278"/>
    </row>
    <row r="98" spans="1:17" x14ac:dyDescent="0.4">
      <c r="A98" s="1"/>
      <c r="B98" s="16">
        <f>B96</f>
        <v>-52829.866739999998</v>
      </c>
      <c r="C98" s="16"/>
      <c r="D98" s="16" t="s">
        <v>239</v>
      </c>
      <c r="G98" s="20"/>
      <c r="H98" s="12"/>
    </row>
    <row r="99" spans="1:17" x14ac:dyDescent="0.4">
      <c r="A99" s="1"/>
      <c r="B99" s="16">
        <f>D96</f>
        <v>4873.0561574799976</v>
      </c>
      <c r="D99" t="s">
        <v>240</v>
      </c>
      <c r="G99" s="20"/>
      <c r="H99" s="12"/>
    </row>
    <row r="100" spans="1:17" x14ac:dyDescent="0.4">
      <c r="A100" s="1"/>
      <c r="B100" s="16">
        <f>E96</f>
        <v>2645</v>
      </c>
      <c r="D100" t="s">
        <v>241</v>
      </c>
      <c r="G100" s="17">
        <f>M17</f>
        <v>64472.851782680002</v>
      </c>
      <c r="H100" s="15" t="s">
        <v>207</v>
      </c>
    </row>
    <row r="101" spans="1:17" x14ac:dyDescent="0.4">
      <c r="B101" s="16">
        <f>F96</f>
        <v>36377.826063289998</v>
      </c>
      <c r="D101" t="s">
        <v>242</v>
      </c>
      <c r="G101" s="296">
        <f>R52</f>
        <v>638.98425040650409</v>
      </c>
      <c r="H101" s="93" t="s">
        <v>30</v>
      </c>
    </row>
    <row r="102" spans="1:17" x14ac:dyDescent="0.4">
      <c r="B102" s="16">
        <f>G96</f>
        <v>-4699.022029593496</v>
      </c>
      <c r="D102" t="s">
        <v>243</v>
      </c>
      <c r="G102" s="20">
        <f>376472*B17</f>
        <v>1177.01335496</v>
      </c>
      <c r="H102" s="15" t="s">
        <v>295</v>
      </c>
    </row>
    <row r="103" spans="1:17" x14ac:dyDescent="0.4">
      <c r="B103" s="82">
        <f>I96</f>
        <v>80000</v>
      </c>
      <c r="D103" t="s">
        <v>29</v>
      </c>
      <c r="G103" s="82"/>
      <c r="H103" s="93" t="s">
        <v>257</v>
      </c>
    </row>
    <row r="104" spans="1:17" ht="15" thickBot="1" x14ac:dyDescent="0.45">
      <c r="B104" s="85">
        <f>SUM(B98:B103)</f>
        <v>66366.993451176502</v>
      </c>
      <c r="D104" s="15" t="s">
        <v>91</v>
      </c>
      <c r="G104" s="87">
        <f>SUM(G100:G103)</f>
        <v>66288.84938804651</v>
      </c>
      <c r="H104" s="15" t="s">
        <v>25</v>
      </c>
    </row>
    <row r="105" spans="1:17" ht="15" thickTop="1" x14ac:dyDescent="0.4"/>
    <row r="106" spans="1:17" x14ac:dyDescent="0.4">
      <c r="E106" s="342" t="s">
        <v>297</v>
      </c>
      <c r="F106" s="343">
        <f>B104/G104</f>
        <v>1.0011788417486709</v>
      </c>
    </row>
  </sheetData>
  <mergeCells count="19">
    <mergeCell ref="A45:F45"/>
    <mergeCell ref="A66:C66"/>
    <mergeCell ref="I66:L66"/>
    <mergeCell ref="I69:J70"/>
    <mergeCell ref="E70:F70"/>
    <mergeCell ref="I45:R45"/>
    <mergeCell ref="I84:J85"/>
    <mergeCell ref="F47:F48"/>
    <mergeCell ref="G47:G48"/>
    <mergeCell ref="H47:H48"/>
    <mergeCell ref="I77:J77"/>
    <mergeCell ref="I79:J82"/>
    <mergeCell ref="I72:J74"/>
    <mergeCell ref="A36:B36"/>
    <mergeCell ref="D2:M2"/>
    <mergeCell ref="E8:M8"/>
    <mergeCell ref="E9:M9"/>
    <mergeCell ref="E10:H10"/>
    <mergeCell ref="I10:L10"/>
  </mergeCells>
  <dataValidations count="4">
    <dataValidation allowBlank="1" showInputMessage="1" showErrorMessage="1" promptTitle="Deferred Inflows" prompt="Enter amounts in this column as credits (-)." sqref="J49:J64 L49:L64"/>
    <dataValidation allowBlank="1" showInputMessage="1" showErrorMessage="1" promptTitle="Deferred Outlows" prompt="Enter amounts in this column as debits (+)." sqref="K49:K64"/>
    <dataValidation allowBlank="1" showInputMessage="1" showErrorMessage="1" promptTitle="Deferred Outflows" prompt="Enter amounts in this column as debits (+)." sqref="M49:O64"/>
    <dataValidation allowBlank="1" showInputMessage="1" showErrorMessage="1" prompt="If you have more than one DRS ORG ID number, combine the percentages." sqref="B16:B17"/>
  </dataValidations>
  <pageMargins left="0.7" right="0.7" top="0.75" bottom="0.75" header="0.3" footer="0.3"/>
  <pageSetup paperSize="17" scale="43" orientation="landscape" cellComments="asDisplayed" r:id="rId1"/>
  <ignoredErrors>
    <ignoredError sqref="H12:H13 R49:R51 J65:O65"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1"/>
  <sheetViews>
    <sheetView zoomScaleNormal="100" workbookViewId="0"/>
  </sheetViews>
  <sheetFormatPr defaultRowHeight="14.6" x14ac:dyDescent="0.4"/>
  <cols>
    <col min="1" max="1" width="28.69140625" customWidth="1"/>
    <col min="2" max="2" width="12.69140625" customWidth="1"/>
    <col min="3" max="3" width="1.69140625" customWidth="1"/>
    <col min="4" max="13" width="15.69140625" customWidth="1"/>
  </cols>
  <sheetData>
    <row r="1" spans="1:13" x14ac:dyDescent="0.4">
      <c r="A1" s="1"/>
    </row>
    <row r="2" spans="1:13" x14ac:dyDescent="0.4">
      <c r="D2" s="364" t="s">
        <v>278</v>
      </c>
      <c r="E2" s="364"/>
      <c r="F2" s="364"/>
      <c r="G2" s="364"/>
      <c r="H2" s="364"/>
      <c r="I2" s="364"/>
      <c r="J2" s="364"/>
      <c r="K2" s="364"/>
      <c r="L2" s="364"/>
      <c r="M2" s="364"/>
    </row>
    <row r="4" spans="1:13" x14ac:dyDescent="0.4">
      <c r="D4" s="2" t="s">
        <v>228</v>
      </c>
      <c r="E4" s="2"/>
      <c r="F4" s="2"/>
      <c r="G4" s="2"/>
      <c r="H4" s="2"/>
      <c r="I4" s="2"/>
      <c r="J4" s="2"/>
      <c r="K4" s="2"/>
      <c r="L4" s="2"/>
      <c r="M4" s="2"/>
    </row>
    <row r="5" spans="1:13" x14ac:dyDescent="0.4">
      <c r="D5" s="2" t="s">
        <v>279</v>
      </c>
      <c r="E5" s="2"/>
      <c r="F5" s="2"/>
      <c r="G5" s="2"/>
      <c r="H5" s="2"/>
      <c r="I5" s="2"/>
      <c r="J5" s="2"/>
      <c r="K5" s="2"/>
      <c r="L5" s="2"/>
      <c r="M5" s="2"/>
    </row>
    <row r="6" spans="1:13" x14ac:dyDescent="0.4">
      <c r="D6" s="3" t="s">
        <v>280</v>
      </c>
      <c r="E6" s="2"/>
      <c r="F6" s="2"/>
      <c r="G6" s="2"/>
      <c r="H6" s="2"/>
      <c r="I6" s="2"/>
      <c r="J6" s="2"/>
      <c r="K6" s="2"/>
      <c r="L6" s="2"/>
      <c r="M6" s="2"/>
    </row>
    <row r="7" spans="1:13" x14ac:dyDescent="0.4">
      <c r="D7" s="3" t="s">
        <v>281</v>
      </c>
      <c r="E7" s="4"/>
      <c r="F7" s="2"/>
      <c r="G7" s="2"/>
      <c r="H7" s="2"/>
      <c r="I7" s="2"/>
      <c r="J7" s="2"/>
      <c r="K7" s="2"/>
      <c r="L7" s="2"/>
      <c r="M7" s="2"/>
    </row>
    <row r="8" spans="1:13" x14ac:dyDescent="0.4">
      <c r="E8" s="365"/>
      <c r="F8" s="365"/>
      <c r="G8" s="365"/>
      <c r="H8" s="365"/>
      <c r="I8" s="365"/>
      <c r="J8" s="365"/>
      <c r="K8" s="365"/>
      <c r="L8" s="365"/>
      <c r="M8" s="365"/>
    </row>
    <row r="9" spans="1:13" ht="15" thickBot="1" x14ac:dyDescent="0.45">
      <c r="E9" s="365"/>
      <c r="F9" s="365"/>
      <c r="G9" s="365"/>
      <c r="H9" s="365"/>
      <c r="I9" s="365"/>
      <c r="J9" s="365"/>
      <c r="K9" s="365"/>
      <c r="L9" s="365"/>
      <c r="M9" s="365"/>
    </row>
    <row r="10" spans="1:13" ht="15" thickBot="1" x14ac:dyDescent="0.45">
      <c r="B10" s="177" t="s">
        <v>148</v>
      </c>
      <c r="E10" s="366" t="s">
        <v>208</v>
      </c>
      <c r="F10" s="367"/>
      <c r="G10" s="367"/>
      <c r="H10" s="367"/>
      <c r="I10" s="368" t="s">
        <v>13</v>
      </c>
      <c r="J10" s="369"/>
      <c r="K10" s="369"/>
      <c r="L10" s="370"/>
    </row>
    <row r="11" spans="1:13" ht="117" thickBot="1" x14ac:dyDescent="0.45">
      <c r="A11" s="132"/>
      <c r="D11" s="32" t="s">
        <v>118</v>
      </c>
      <c r="E11" s="33" t="s">
        <v>0</v>
      </c>
      <c r="F11" s="33" t="s">
        <v>1</v>
      </c>
      <c r="G11" s="33" t="s">
        <v>2</v>
      </c>
      <c r="H11" s="46" t="s">
        <v>14</v>
      </c>
      <c r="I11" s="35" t="s">
        <v>0</v>
      </c>
      <c r="J11" s="35" t="s">
        <v>1</v>
      </c>
      <c r="K11" s="35" t="s">
        <v>2</v>
      </c>
      <c r="L11" s="67" t="s">
        <v>15</v>
      </c>
      <c r="M11" s="31" t="s">
        <v>3</v>
      </c>
    </row>
    <row r="12" spans="1:13" x14ac:dyDescent="0.4">
      <c r="A12" s="1" t="s">
        <v>282</v>
      </c>
      <c r="D12" s="36">
        <v>1517220000</v>
      </c>
      <c r="E12" s="70"/>
      <c r="F12" s="284"/>
      <c r="G12" s="70"/>
      <c r="H12" s="71">
        <f>SUM(E12:G12)</f>
        <v>0</v>
      </c>
      <c r="I12" s="39"/>
      <c r="J12" s="40">
        <v>-140985000</v>
      </c>
      <c r="K12" s="39"/>
      <c r="L12" s="41">
        <f>+SUM(I12:K12)</f>
        <v>-140985000</v>
      </c>
      <c r="M12" s="5"/>
    </row>
    <row r="13" spans="1:13" ht="15" thickBot="1" x14ac:dyDescent="0.45">
      <c r="A13" s="176" t="s">
        <v>283</v>
      </c>
      <c r="B13" s="175"/>
      <c r="C13" s="175"/>
      <c r="D13" s="37">
        <v>1815502000</v>
      </c>
      <c r="E13" s="38"/>
      <c r="F13" s="38"/>
      <c r="G13" s="38"/>
      <c r="H13" s="38">
        <f>SUM(E13:G13)</f>
        <v>0</v>
      </c>
      <c r="I13" s="43"/>
      <c r="J13" s="43">
        <v>-147392283</v>
      </c>
      <c r="K13" s="42"/>
      <c r="L13" s="44">
        <f>+SUM(I13:K13)</f>
        <v>-147392283</v>
      </c>
      <c r="M13" s="34">
        <v>-291872829</v>
      </c>
    </row>
    <row r="14" spans="1:13" ht="15" thickTop="1" x14ac:dyDescent="0.4"/>
    <row r="15" spans="1:13" ht="15" thickBot="1" x14ac:dyDescent="0.45">
      <c r="A15" s="15" t="s">
        <v>147</v>
      </c>
    </row>
    <row r="16" spans="1:13" ht="15" thickBot="1" x14ac:dyDescent="0.45">
      <c r="A16" s="6" t="s">
        <v>331</v>
      </c>
      <c r="B16" s="122">
        <v>1.3617499999999999E-3</v>
      </c>
      <c r="C16" s="6"/>
      <c r="D16" s="164">
        <f>D12*$B$16</f>
        <v>2066074.3349999997</v>
      </c>
      <c r="E16" s="166">
        <f t="shared" ref="E16:L16" si="0">E12*$B$16</f>
        <v>0</v>
      </c>
      <c r="F16" s="166">
        <f t="shared" si="0"/>
        <v>0</v>
      </c>
      <c r="G16" s="166">
        <f t="shared" si="0"/>
        <v>0</v>
      </c>
      <c r="H16" s="167">
        <f t="shared" si="0"/>
        <v>0</v>
      </c>
      <c r="I16" s="170">
        <f t="shared" si="0"/>
        <v>0</v>
      </c>
      <c r="J16" s="170">
        <f t="shared" si="0"/>
        <v>-191986.32374999998</v>
      </c>
      <c r="K16" s="170">
        <f t="shared" si="0"/>
        <v>0</v>
      </c>
      <c r="L16" s="171">
        <f t="shared" si="0"/>
        <v>-191986.32374999998</v>
      </c>
      <c r="M16" s="7"/>
    </row>
    <row r="17" spans="1:13" ht="15" thickBot="1" x14ac:dyDescent="0.45">
      <c r="A17" s="6" t="s">
        <v>332</v>
      </c>
      <c r="B17" s="122">
        <v>1.4126799999999999E-3</v>
      </c>
      <c r="C17" s="6"/>
      <c r="D17" s="165">
        <f>D13*$B$17</f>
        <v>2564723.3653599997</v>
      </c>
      <c r="E17" s="168">
        <f>E13*$B$17</f>
        <v>0</v>
      </c>
      <c r="F17" s="168">
        <f t="shared" ref="F17:M17" si="1">F13*$B$17</f>
        <v>0</v>
      </c>
      <c r="G17" s="168">
        <f t="shared" si="1"/>
        <v>0</v>
      </c>
      <c r="H17" s="169">
        <f t="shared" si="1"/>
        <v>0</v>
      </c>
      <c r="I17" s="172">
        <f t="shared" si="1"/>
        <v>0</v>
      </c>
      <c r="J17" s="172">
        <f t="shared" si="1"/>
        <v>-208218.13034844</v>
      </c>
      <c r="K17" s="172">
        <f t="shared" si="1"/>
        <v>0</v>
      </c>
      <c r="L17" s="173">
        <f t="shared" si="1"/>
        <v>-208218.13034844</v>
      </c>
      <c r="M17" s="8">
        <f t="shared" si="1"/>
        <v>-412322.90807171998</v>
      </c>
    </row>
    <row r="18" spans="1:13" x14ac:dyDescent="0.4">
      <c r="A18" s="6"/>
      <c r="B18" s="6"/>
      <c r="C18" s="6"/>
      <c r="D18" s="6"/>
      <c r="E18" s="6"/>
    </row>
    <row r="19" spans="1:13" x14ac:dyDescent="0.4">
      <c r="A19" s="9"/>
      <c r="B19" s="6"/>
      <c r="C19" s="6"/>
      <c r="D19" s="6"/>
      <c r="E19" s="6"/>
      <c r="H19" s="47"/>
    </row>
    <row r="20" spans="1:13" x14ac:dyDescent="0.4">
      <c r="A20" s="1"/>
      <c r="B20" s="6"/>
      <c r="C20" s="6"/>
      <c r="D20" s="10" t="s">
        <v>4</v>
      </c>
      <c r="E20" s="10" t="s">
        <v>5</v>
      </c>
    </row>
    <row r="21" spans="1:13" x14ac:dyDescent="0.4">
      <c r="A21" s="68" t="s">
        <v>65</v>
      </c>
      <c r="B21" s="6"/>
      <c r="C21" s="6"/>
      <c r="D21" s="11"/>
      <c r="E21" s="11"/>
      <c r="F21" s="13"/>
      <c r="G21" s="13"/>
      <c r="H21" s="19"/>
    </row>
    <row r="22" spans="1:13" x14ac:dyDescent="0.4">
      <c r="A22" s="6" t="s">
        <v>298</v>
      </c>
      <c r="B22" s="6"/>
      <c r="C22" s="6"/>
      <c r="D22" s="11">
        <f>D17</f>
        <v>2564723.3653599997</v>
      </c>
      <c r="E22" s="11"/>
      <c r="F22" s="14"/>
      <c r="G22" s="14"/>
      <c r="H22" s="19"/>
    </row>
    <row r="23" spans="1:13" x14ac:dyDescent="0.4">
      <c r="A23" s="6" t="s">
        <v>299</v>
      </c>
      <c r="B23" s="6"/>
      <c r="C23" s="6"/>
      <c r="D23" s="11"/>
      <c r="E23" s="11">
        <f>-D16</f>
        <v>-2066074.3349999997</v>
      </c>
      <c r="F23" s="15"/>
      <c r="G23" s="15"/>
      <c r="H23" s="19"/>
    </row>
    <row r="24" spans="1:13" x14ac:dyDescent="0.4">
      <c r="A24" s="45" t="s">
        <v>300</v>
      </c>
      <c r="D24" s="16"/>
      <c r="E24" s="16">
        <f>+L17</f>
        <v>-208218.13034844</v>
      </c>
      <c r="H24" s="12"/>
    </row>
    <row r="25" spans="1:13" x14ac:dyDescent="0.4">
      <c r="A25" s="6" t="s">
        <v>301</v>
      </c>
      <c r="D25" s="16">
        <f>-L16</f>
        <v>191986.32374999998</v>
      </c>
      <c r="E25" s="16"/>
      <c r="H25" s="48"/>
    </row>
    <row r="26" spans="1:13" x14ac:dyDescent="0.4">
      <c r="A26" s="6" t="str">
        <f>IF(SUM(D22:E25)&lt;0, "Adjustment to Pension Expense","     Adjustment to Pension Expense")</f>
        <v xml:space="preserve">     Adjustment to Pension Expense</v>
      </c>
      <c r="D26" s="253">
        <f>IF(SUM(D22:E25)&lt;0, SUM(D22:E25)*-1, 0)</f>
        <v>0</v>
      </c>
      <c r="E26" s="253">
        <f>IF(SUM(D22:E25)&lt;0, 0, SUM(D22:E25)*-1)</f>
        <v>-482417.22376155993</v>
      </c>
      <c r="H26" s="12"/>
    </row>
    <row r="27" spans="1:13" x14ac:dyDescent="0.4">
      <c r="A27" s="6"/>
      <c r="H27" s="12"/>
    </row>
    <row r="28" spans="1:13" x14ac:dyDescent="0.4">
      <c r="A28" s="135" t="s">
        <v>93</v>
      </c>
      <c r="H28" s="12"/>
    </row>
    <row r="29" spans="1:13" x14ac:dyDescent="0.4">
      <c r="A29" s="135" t="s">
        <v>94</v>
      </c>
      <c r="H29" s="12"/>
    </row>
    <row r="30" spans="1:13" x14ac:dyDescent="0.4">
      <c r="A30" s="135" t="s">
        <v>95</v>
      </c>
      <c r="H30" s="12"/>
    </row>
    <row r="31" spans="1:13" x14ac:dyDescent="0.4">
      <c r="A31" s="135" t="s">
        <v>96</v>
      </c>
      <c r="D31" s="16"/>
      <c r="E31" s="16"/>
    </row>
    <row r="32" spans="1:13" ht="15" thickBot="1" x14ac:dyDescent="0.45">
      <c r="A32" s="15"/>
      <c r="B32" s="18"/>
      <c r="D32" s="29"/>
      <c r="E32" s="16"/>
    </row>
    <row r="33" spans="1:13" ht="15" thickBot="1" x14ac:dyDescent="0.45">
      <c r="A33" s="387" t="s">
        <v>115</v>
      </c>
      <c r="B33" s="388"/>
      <c r="C33" s="388"/>
      <c r="D33" s="388"/>
      <c r="E33" s="388"/>
      <c r="F33" s="389"/>
      <c r="G33" s="207"/>
      <c r="H33" s="57"/>
      <c r="I33" s="402"/>
      <c r="J33" s="402"/>
      <c r="K33" s="402"/>
      <c r="L33" s="402"/>
      <c r="M33" s="50"/>
    </row>
    <row r="34" spans="1:13" x14ac:dyDescent="0.4">
      <c r="A34" s="53"/>
      <c r="B34" s="12"/>
      <c r="C34" s="12"/>
      <c r="D34" s="20"/>
      <c r="E34" s="20"/>
      <c r="F34" s="54"/>
      <c r="G34" s="50"/>
      <c r="H34" s="12"/>
      <c r="I34" s="50"/>
      <c r="J34" s="102"/>
      <c r="K34" s="102"/>
      <c r="L34" s="102"/>
      <c r="M34" s="102"/>
    </row>
    <row r="35" spans="1:13" x14ac:dyDescent="0.4">
      <c r="A35" s="53"/>
      <c r="B35" s="12"/>
      <c r="C35" s="12"/>
      <c r="D35" s="22" t="s">
        <v>256</v>
      </c>
      <c r="E35" s="22" t="s">
        <v>294</v>
      </c>
      <c r="F35" s="384" t="s">
        <v>173</v>
      </c>
      <c r="G35" s="385"/>
      <c r="H35" s="386"/>
      <c r="I35" s="50"/>
      <c r="J35" s="102"/>
      <c r="K35" s="102"/>
      <c r="L35" s="102"/>
      <c r="M35" s="102"/>
    </row>
    <row r="36" spans="1:13" x14ac:dyDescent="0.4">
      <c r="A36" s="53"/>
      <c r="B36" s="12"/>
      <c r="C36" s="12"/>
      <c r="D36" s="23">
        <f>B16</f>
        <v>1.3617499999999999E-3</v>
      </c>
      <c r="E36" s="23">
        <f>B17</f>
        <v>1.4126799999999999E-3</v>
      </c>
      <c r="F36" s="384"/>
      <c r="G36" s="385"/>
      <c r="H36" s="386"/>
      <c r="I36" s="134"/>
      <c r="J36" s="102"/>
      <c r="K36" s="102"/>
      <c r="L36" s="102"/>
      <c r="M36" s="103"/>
    </row>
    <row r="37" spans="1:13" x14ac:dyDescent="0.4">
      <c r="A37" s="53"/>
      <c r="B37" s="12"/>
      <c r="C37" s="12"/>
      <c r="D37" s="12"/>
      <c r="E37" s="12"/>
      <c r="F37" s="54"/>
      <c r="G37" s="50"/>
      <c r="H37" s="12"/>
      <c r="I37" s="134"/>
      <c r="J37" s="103"/>
      <c r="K37" s="107"/>
      <c r="L37" s="103"/>
      <c r="M37" s="103"/>
    </row>
    <row r="38" spans="1:13" x14ac:dyDescent="0.4">
      <c r="A38" s="141" t="s">
        <v>119</v>
      </c>
      <c r="B38" s="12"/>
      <c r="C38" s="12"/>
      <c r="D38" s="139">
        <f>D16</f>
        <v>2066074.3349999997</v>
      </c>
      <c r="E38" s="88">
        <f>D12*$B$17</f>
        <v>2143346.3495999998</v>
      </c>
      <c r="F38" s="58">
        <f>E38-D38</f>
        <v>77272.014600000111</v>
      </c>
      <c r="G38" s="208"/>
      <c r="H38" s="26"/>
      <c r="I38" s="134"/>
      <c r="J38" s="103"/>
      <c r="K38" s="103"/>
      <c r="L38" s="103"/>
      <c r="M38" s="131"/>
    </row>
    <row r="39" spans="1:13" x14ac:dyDescent="0.4">
      <c r="A39" s="53"/>
      <c r="B39" s="12"/>
      <c r="C39" s="12"/>
      <c r="D39" s="25"/>
      <c r="E39" s="25"/>
      <c r="F39" s="58"/>
      <c r="G39" s="209"/>
      <c r="H39" s="25"/>
      <c r="I39" s="134"/>
      <c r="J39" s="88"/>
      <c r="K39" s="88"/>
      <c r="L39" s="88"/>
      <c r="M39" s="88"/>
    </row>
    <row r="40" spans="1:13" x14ac:dyDescent="0.4">
      <c r="A40" s="53" t="s">
        <v>8</v>
      </c>
      <c r="B40" s="12"/>
      <c r="C40" s="12"/>
      <c r="D40" s="25">
        <f>H16</f>
        <v>0</v>
      </c>
      <c r="E40" s="88">
        <f>H12*$B$17</f>
        <v>0</v>
      </c>
      <c r="F40" s="58">
        <f>E40-D40</f>
        <v>0</v>
      </c>
      <c r="G40" s="208"/>
      <c r="H40" s="26"/>
      <c r="I40" s="134"/>
      <c r="J40" s="88"/>
      <c r="K40" s="88"/>
      <c r="L40" s="88"/>
      <c r="M40" s="88"/>
    </row>
    <row r="41" spans="1:13" x14ac:dyDescent="0.4">
      <c r="A41" s="53"/>
      <c r="B41" s="12"/>
      <c r="C41" s="12"/>
      <c r="D41" s="25"/>
      <c r="E41" s="25"/>
      <c r="F41" s="58"/>
      <c r="G41" s="209"/>
      <c r="H41" s="25"/>
      <c r="I41" s="134"/>
      <c r="J41" s="88"/>
      <c r="K41" s="88"/>
      <c r="L41" s="88"/>
      <c r="M41" s="88"/>
    </row>
    <row r="42" spans="1:13" ht="15" thickBot="1" x14ac:dyDescent="0.45">
      <c r="A42" s="53" t="s">
        <v>9</v>
      </c>
      <c r="B42" s="12"/>
      <c r="C42" s="12"/>
      <c r="D42" s="24">
        <f>L16</f>
        <v>-191986.32374999998</v>
      </c>
      <c r="E42" s="361">
        <f>L12*$B$17</f>
        <v>-199166.68979999999</v>
      </c>
      <c r="F42" s="60">
        <f>E42-D42</f>
        <v>-7180.3660500000115</v>
      </c>
      <c r="G42" s="208"/>
      <c r="H42" s="26"/>
      <c r="I42" s="134"/>
      <c r="J42" s="88"/>
      <c r="K42" s="88"/>
      <c r="L42" s="88"/>
      <c r="M42" s="88"/>
    </row>
    <row r="43" spans="1:13" ht="15" thickTop="1" x14ac:dyDescent="0.4">
      <c r="A43" s="53"/>
      <c r="B43" s="12"/>
      <c r="C43" s="12"/>
      <c r="D43" s="25"/>
      <c r="E43" s="25"/>
      <c r="F43" s="59"/>
      <c r="G43" s="209"/>
      <c r="H43" s="25"/>
      <c r="I43" s="134"/>
      <c r="J43" s="88"/>
      <c r="K43" s="88"/>
      <c r="L43" s="17"/>
      <c r="M43" s="86"/>
    </row>
    <row r="44" spans="1:13" ht="15" thickBot="1" x14ac:dyDescent="0.45">
      <c r="A44" s="53" t="s">
        <v>10</v>
      </c>
      <c r="B44" s="12"/>
      <c r="C44" s="12"/>
      <c r="D44" s="25"/>
      <c r="E44" s="25"/>
      <c r="F44" s="60">
        <f>SUM(F38:F43)</f>
        <v>70091.6485500001</v>
      </c>
      <c r="G44" s="208"/>
      <c r="H44" s="26"/>
    </row>
    <row r="45" spans="1:13" ht="15" thickTop="1" x14ac:dyDescent="0.4">
      <c r="A45" s="53"/>
      <c r="B45" s="12"/>
      <c r="C45" s="12"/>
      <c r="D45" s="12"/>
      <c r="E45" s="12"/>
      <c r="F45" s="54"/>
      <c r="G45" s="50"/>
      <c r="H45" s="12"/>
    </row>
    <row r="46" spans="1:13" ht="35.15" customHeight="1" thickBot="1" x14ac:dyDescent="0.45">
      <c r="A46" s="381" t="s">
        <v>97</v>
      </c>
      <c r="B46" s="382"/>
      <c r="C46" s="382"/>
      <c r="D46" s="12"/>
      <c r="E46" s="12"/>
      <c r="F46" s="217">
        <f>-F44</f>
        <v>-70091.6485500001</v>
      </c>
      <c r="G46" s="208"/>
      <c r="H46" s="26"/>
      <c r="I46" s="383" t="s">
        <v>58</v>
      </c>
      <c r="J46" s="383"/>
      <c r="K46" s="383"/>
      <c r="L46" s="383"/>
    </row>
    <row r="47" spans="1:13" ht="15" customHeight="1" thickTop="1" x14ac:dyDescent="0.4">
      <c r="A47" s="53"/>
      <c r="B47" s="12"/>
      <c r="C47" s="12"/>
      <c r="D47" s="12"/>
      <c r="E47" s="12"/>
      <c r="F47" s="54"/>
      <c r="G47" s="50"/>
      <c r="H47" s="12"/>
      <c r="K47" s="115" t="s">
        <v>18</v>
      </c>
      <c r="L47" s="115" t="s">
        <v>57</v>
      </c>
    </row>
    <row r="48" spans="1:13" ht="15" thickBot="1" x14ac:dyDescent="0.45">
      <c r="A48" s="61" t="s">
        <v>174</v>
      </c>
      <c r="B48" s="12"/>
      <c r="C48" s="12"/>
      <c r="D48" s="12"/>
      <c r="E48" s="12"/>
      <c r="F48" s="58">
        <f>SUM(F44:F47)</f>
        <v>0</v>
      </c>
      <c r="G48" s="208"/>
      <c r="H48" s="26"/>
      <c r="K48" s="116" t="s">
        <v>56</v>
      </c>
      <c r="L48" s="116" t="s">
        <v>56</v>
      </c>
    </row>
    <row r="49" spans="1:14" x14ac:dyDescent="0.4">
      <c r="A49" s="53"/>
      <c r="B49" s="12"/>
      <c r="C49" s="12"/>
      <c r="D49" s="12"/>
      <c r="E49" s="12"/>
      <c r="F49" s="54"/>
      <c r="G49" s="50"/>
      <c r="H49" s="12"/>
      <c r="I49" s="371" t="s">
        <v>54</v>
      </c>
      <c r="J49" s="372"/>
      <c r="K49" s="75"/>
      <c r="L49" s="75"/>
      <c r="M49" s="1"/>
    </row>
    <row r="50" spans="1:14" ht="28.5" customHeight="1" thickBot="1" x14ac:dyDescent="0.45">
      <c r="A50" s="112"/>
      <c r="B50" s="212"/>
      <c r="C50" s="212"/>
      <c r="D50" s="65"/>
      <c r="E50" s="375"/>
      <c r="F50" s="376"/>
      <c r="G50" s="50"/>
      <c r="H50" s="12"/>
      <c r="I50" s="373"/>
      <c r="J50" s="374"/>
      <c r="K50" s="118">
        <f>E17</f>
        <v>0</v>
      </c>
      <c r="L50" s="118">
        <f>I17</f>
        <v>0</v>
      </c>
      <c r="M50" s="1"/>
    </row>
    <row r="51" spans="1:14" ht="14.7" customHeight="1" thickBot="1" x14ac:dyDescent="0.45">
      <c r="A51" s="53"/>
      <c r="B51" s="12"/>
      <c r="C51" s="12"/>
      <c r="D51" s="12"/>
      <c r="E51" s="12"/>
      <c r="F51" s="20"/>
      <c r="G51" s="50"/>
      <c r="H51" s="12"/>
      <c r="I51" s="110"/>
      <c r="J51" s="111"/>
      <c r="K51" s="80"/>
      <c r="L51" s="80"/>
      <c r="M51" s="1"/>
    </row>
    <row r="52" spans="1:14" x14ac:dyDescent="0.4">
      <c r="A52" s="53"/>
      <c r="B52" s="12"/>
      <c r="C52" s="12"/>
      <c r="D52" s="12"/>
      <c r="E52" s="12"/>
      <c r="F52" s="20"/>
      <c r="G52" s="50"/>
      <c r="H52" s="12"/>
      <c r="I52" s="371" t="s">
        <v>59</v>
      </c>
      <c r="J52" s="372"/>
      <c r="K52" s="75"/>
      <c r="L52" s="75"/>
      <c r="M52" s="1"/>
    </row>
    <row r="53" spans="1:14" x14ac:dyDescent="0.4">
      <c r="A53" s="53"/>
      <c r="B53" s="12"/>
      <c r="C53" s="12"/>
      <c r="D53" s="12"/>
      <c r="E53" s="12"/>
      <c r="F53" s="20"/>
      <c r="G53" s="50"/>
      <c r="H53" s="12"/>
      <c r="I53" s="373"/>
      <c r="J53" s="374"/>
      <c r="K53" s="77"/>
      <c r="L53" s="77"/>
      <c r="M53" s="257" t="s">
        <v>238</v>
      </c>
      <c r="N53" s="256">
        <f>SUM(K49:L62)</f>
        <v>-208218.13034844</v>
      </c>
    </row>
    <row r="54" spans="1:14" x14ac:dyDescent="0.4">
      <c r="A54" s="53"/>
      <c r="B54" s="50"/>
      <c r="C54" s="12"/>
      <c r="D54" s="12"/>
      <c r="E54" s="50"/>
      <c r="F54" s="20"/>
      <c r="G54" s="50"/>
      <c r="H54" s="12"/>
      <c r="I54" s="373"/>
      <c r="J54" s="374"/>
      <c r="K54" s="117">
        <f>F17</f>
        <v>0</v>
      </c>
      <c r="L54" s="118">
        <f>J17</f>
        <v>-208218.13034844</v>
      </c>
      <c r="M54" s="1"/>
      <c r="N54" s="15" t="s">
        <v>196</v>
      </c>
    </row>
    <row r="55" spans="1:14" ht="15" thickBot="1" x14ac:dyDescent="0.45">
      <c r="A55" s="53"/>
      <c r="B55" s="50"/>
      <c r="C55" s="50"/>
      <c r="D55" s="50"/>
      <c r="E55" s="50"/>
      <c r="F55" s="88"/>
      <c r="G55" s="50"/>
      <c r="H55" s="12"/>
      <c r="I55" s="112"/>
      <c r="J55" s="66"/>
      <c r="K55" s="80"/>
      <c r="L55" s="80"/>
      <c r="M55" s="1"/>
      <c r="N55" s="15" t="s">
        <v>84</v>
      </c>
    </row>
    <row r="56" spans="1:14" x14ac:dyDescent="0.4">
      <c r="A56" s="62"/>
      <c r="B56" s="51"/>
      <c r="C56" s="52"/>
      <c r="D56" s="52"/>
      <c r="E56" s="51"/>
      <c r="F56" s="133"/>
      <c r="G56" s="50"/>
      <c r="H56" s="12"/>
      <c r="I56" s="377" t="s">
        <v>60</v>
      </c>
      <c r="J56" s="378"/>
      <c r="K56" s="120">
        <f>G17</f>
        <v>0</v>
      </c>
      <c r="L56" s="120">
        <f>K17</f>
        <v>0</v>
      </c>
      <c r="M56" s="1"/>
      <c r="N56" s="15" t="s">
        <v>85</v>
      </c>
    </row>
    <row r="57" spans="1:14" ht="15" thickBot="1" x14ac:dyDescent="0.45">
      <c r="A57" s="62"/>
      <c r="B57" s="28"/>
      <c r="C57" s="27"/>
      <c r="D57" s="27"/>
      <c r="E57" s="28"/>
      <c r="F57" s="12"/>
      <c r="G57" s="50"/>
      <c r="H57" s="12"/>
      <c r="I57" s="112"/>
      <c r="J57" s="66"/>
      <c r="K57" s="80"/>
      <c r="L57" s="80"/>
      <c r="M57" s="1"/>
      <c r="N57" s="15" t="s">
        <v>138</v>
      </c>
    </row>
    <row r="58" spans="1:14" x14ac:dyDescent="0.4">
      <c r="A58" s="27"/>
      <c r="B58" s="27"/>
      <c r="C58" s="27"/>
      <c r="D58" s="27"/>
      <c r="E58" s="27"/>
      <c r="F58" s="12"/>
      <c r="G58" s="50"/>
      <c r="H58" s="12"/>
      <c r="I58" s="371" t="s">
        <v>61</v>
      </c>
      <c r="J58" s="372"/>
      <c r="K58" s="75"/>
      <c r="L58" s="75"/>
      <c r="M58" s="1"/>
    </row>
    <row r="59" spans="1:14" x14ac:dyDescent="0.4">
      <c r="I59" s="373"/>
      <c r="J59" s="374"/>
      <c r="K59" s="77"/>
      <c r="L59" s="77"/>
      <c r="M59" s="1"/>
    </row>
    <row r="60" spans="1:14" x14ac:dyDescent="0.4">
      <c r="I60" s="373"/>
      <c r="J60" s="374"/>
      <c r="K60" s="77"/>
      <c r="L60" s="77"/>
      <c r="M60" s="1"/>
    </row>
    <row r="61" spans="1:14" x14ac:dyDescent="0.4">
      <c r="I61" s="373"/>
      <c r="J61" s="374"/>
      <c r="K61" s="117"/>
      <c r="L61" s="77"/>
      <c r="M61" s="1"/>
    </row>
    <row r="62" spans="1:14" ht="15" thickBot="1" x14ac:dyDescent="0.45">
      <c r="I62" s="112"/>
      <c r="J62" s="66"/>
      <c r="K62" s="80"/>
      <c r="L62" s="80"/>
      <c r="M62" s="1"/>
    </row>
    <row r="63" spans="1:14" x14ac:dyDescent="0.4">
      <c r="I63" s="371" t="s">
        <v>62</v>
      </c>
      <c r="J63" s="372"/>
      <c r="K63" s="75"/>
      <c r="L63" s="75"/>
      <c r="M63" s="1"/>
    </row>
    <row r="64" spans="1:14" x14ac:dyDescent="0.4">
      <c r="I64" s="373"/>
      <c r="J64" s="374"/>
      <c r="K64" s="117"/>
      <c r="L64" s="77"/>
    </row>
    <row r="65" spans="1:12" ht="15" thickBot="1" x14ac:dyDescent="0.45">
      <c r="I65" s="112"/>
      <c r="J65" s="66"/>
      <c r="K65" s="80"/>
      <c r="L65" s="80"/>
    </row>
    <row r="66" spans="1:12" ht="15" thickBot="1" x14ac:dyDescent="0.45">
      <c r="I66" s="113" t="s">
        <v>63</v>
      </c>
      <c r="J66" s="114"/>
      <c r="K66" s="121">
        <f>SUM(K50:K65)</f>
        <v>0</v>
      </c>
      <c r="L66" s="121">
        <f>SUM(L50:L65)</f>
        <v>-208218.13034844</v>
      </c>
    </row>
    <row r="67" spans="1:12" ht="15" thickBot="1" x14ac:dyDescent="0.45"/>
    <row r="68" spans="1:12" x14ac:dyDescent="0.4">
      <c r="I68" s="160" t="s">
        <v>139</v>
      </c>
      <c r="J68" s="12"/>
      <c r="K68" s="115" t="s">
        <v>68</v>
      </c>
      <c r="L68" s="115" t="s">
        <v>36</v>
      </c>
    </row>
    <row r="69" spans="1:12" ht="15" thickBot="1" x14ac:dyDescent="0.45">
      <c r="I69" s="12"/>
      <c r="J69" s="12"/>
      <c r="K69" s="124" t="s">
        <v>69</v>
      </c>
      <c r="L69" s="157"/>
    </row>
    <row r="70" spans="1:12" ht="15" thickBot="1" x14ac:dyDescent="0.45">
      <c r="I70" s="12"/>
      <c r="J70" s="12"/>
      <c r="K70" s="158">
        <v>2019</v>
      </c>
      <c r="L70" s="125">
        <f>'6 - Amort - Notes'!AF65</f>
        <v>198.79232959999999</v>
      </c>
    </row>
    <row r="71" spans="1:12" ht="15" thickBot="1" x14ac:dyDescent="0.45">
      <c r="I71" s="150"/>
      <c r="J71" s="150"/>
      <c r="K71" s="158">
        <v>2020</v>
      </c>
      <c r="L71" s="125">
        <f>'6 - Amort - Notes'!AF66</f>
        <v>-46972.12280284</v>
      </c>
    </row>
    <row r="72" spans="1:12" ht="15" thickBot="1" x14ac:dyDescent="0.45">
      <c r="I72" s="150"/>
      <c r="J72" s="150"/>
      <c r="K72" s="158">
        <v>2021</v>
      </c>
      <c r="L72" s="125">
        <f>'6 - Amort - Notes'!AF67</f>
        <v>-127933.34900855999</v>
      </c>
    </row>
    <row r="73" spans="1:12" ht="15" thickBot="1" x14ac:dyDescent="0.45">
      <c r="I73" s="150"/>
      <c r="J73" s="150"/>
      <c r="K73" s="159">
        <v>2022</v>
      </c>
      <c r="L73" s="125">
        <f>'6 - Amort - Notes'!AF68</f>
        <v>-33511.45086664</v>
      </c>
    </row>
    <row r="74" spans="1:12" ht="15" thickBot="1" x14ac:dyDescent="0.45">
      <c r="I74" s="150"/>
      <c r="J74" s="150"/>
      <c r="K74" s="159">
        <v>2023</v>
      </c>
      <c r="L74" s="125"/>
    </row>
    <row r="75" spans="1:12" ht="15" thickBot="1" x14ac:dyDescent="0.45">
      <c r="A75" s="1" t="s">
        <v>116</v>
      </c>
      <c r="E75" s="6"/>
      <c r="I75" s="12"/>
      <c r="J75" s="12"/>
      <c r="K75" s="123" t="s">
        <v>137</v>
      </c>
      <c r="L75" s="125"/>
    </row>
    <row r="76" spans="1:12" ht="15" thickBot="1" x14ac:dyDescent="0.45">
      <c r="A76" s="1"/>
      <c r="I76" s="150"/>
      <c r="J76" s="150"/>
      <c r="K76" s="161" t="s">
        <v>63</v>
      </c>
      <c r="L76" s="126">
        <f>SUM(L70:L75)</f>
        <v>-208218.13034844</v>
      </c>
    </row>
    <row r="77" spans="1:12" x14ac:dyDescent="0.4">
      <c r="B77" s="89"/>
      <c r="C77" s="89"/>
      <c r="D77" s="89"/>
      <c r="E77" s="90" t="s">
        <v>86</v>
      </c>
      <c r="F77" s="89"/>
      <c r="G77" s="90" t="s">
        <v>88</v>
      </c>
      <c r="H77" s="89"/>
      <c r="I77" s="91"/>
      <c r="J77" s="91"/>
    </row>
    <row r="78" spans="1:12" x14ac:dyDescent="0.4">
      <c r="B78" s="92" t="s">
        <v>20</v>
      </c>
      <c r="C78" s="92"/>
      <c r="D78" s="92" t="s">
        <v>21</v>
      </c>
      <c r="E78" s="92" t="s">
        <v>87</v>
      </c>
      <c r="F78" s="92" t="s">
        <v>22</v>
      </c>
      <c r="G78" s="92" t="s">
        <v>89</v>
      </c>
      <c r="H78" s="92" t="s">
        <v>23</v>
      </c>
      <c r="I78" s="91"/>
      <c r="J78" s="91"/>
    </row>
    <row r="79" spans="1:12" x14ac:dyDescent="0.4">
      <c r="A79" s="84">
        <v>42736</v>
      </c>
      <c r="B79" s="16">
        <f>D16</f>
        <v>2066074.3349999997</v>
      </c>
      <c r="C79" s="16"/>
      <c r="D79" s="16">
        <f>H16</f>
        <v>0</v>
      </c>
      <c r="E79" s="16"/>
      <c r="F79" s="16">
        <f>L16</f>
        <v>-191986.32374999998</v>
      </c>
      <c r="G79" s="16"/>
      <c r="H79" s="16"/>
      <c r="I79" s="20"/>
      <c r="J79" s="16"/>
    </row>
    <row r="80" spans="1:12" x14ac:dyDescent="0.4">
      <c r="A80" s="84">
        <v>43100</v>
      </c>
      <c r="B80" s="82">
        <f>D17</f>
        <v>2564723.3653599997</v>
      </c>
      <c r="C80" s="82"/>
      <c r="D80" s="82">
        <f>H17</f>
        <v>0</v>
      </c>
      <c r="E80" s="82"/>
      <c r="F80" s="82">
        <f>L17</f>
        <v>-208218.13034844</v>
      </c>
      <c r="G80" s="82"/>
      <c r="H80" s="82"/>
      <c r="I80" s="20"/>
      <c r="J80" s="20"/>
    </row>
    <row r="81" spans="1:10" x14ac:dyDescent="0.4">
      <c r="A81" s="81" t="s">
        <v>28</v>
      </c>
      <c r="B81" s="11">
        <f>B79-B80</f>
        <v>-498649.03035999998</v>
      </c>
      <c r="C81" s="16"/>
      <c r="D81" s="11">
        <f>D79-D80</f>
        <v>0</v>
      </c>
      <c r="E81" s="11">
        <f>E79-E80</f>
        <v>0</v>
      </c>
      <c r="F81" s="11">
        <f>F79-F80</f>
        <v>16231.806598440016</v>
      </c>
      <c r="G81" s="11">
        <f>G79-G80</f>
        <v>0</v>
      </c>
      <c r="H81" s="20">
        <f>SUM(B81:G81)</f>
        <v>-482417.22376155993</v>
      </c>
      <c r="I81" s="20"/>
      <c r="J81" s="20"/>
    </row>
    <row r="83" spans="1:10" x14ac:dyDescent="0.4">
      <c r="A83" s="1"/>
      <c r="B83" s="16">
        <f>B81</f>
        <v>-498649.03035999998</v>
      </c>
      <c r="C83" s="16"/>
      <c r="D83" s="16" t="s">
        <v>244</v>
      </c>
      <c r="G83" s="20"/>
      <c r="H83" s="12"/>
    </row>
    <row r="84" spans="1:10" x14ac:dyDescent="0.4">
      <c r="A84" s="1"/>
      <c r="B84" s="16">
        <f>D81</f>
        <v>0</v>
      </c>
      <c r="D84" t="s">
        <v>240</v>
      </c>
      <c r="G84" s="20"/>
      <c r="H84" s="12"/>
    </row>
    <row r="85" spans="1:10" x14ac:dyDescent="0.4">
      <c r="A85" s="1"/>
      <c r="B85" s="16">
        <f>E81</f>
        <v>0</v>
      </c>
      <c r="D85" t="s">
        <v>211</v>
      </c>
      <c r="G85" s="86"/>
      <c r="H85" s="12"/>
    </row>
    <row r="86" spans="1:10" x14ac:dyDescent="0.4">
      <c r="B86" s="16">
        <f>F81</f>
        <v>16231.806598440016</v>
      </c>
      <c r="D86" t="s">
        <v>242</v>
      </c>
    </row>
    <row r="87" spans="1:10" x14ac:dyDescent="0.4">
      <c r="B87" s="16">
        <f>G81</f>
        <v>0</v>
      </c>
      <c r="D87" t="s">
        <v>120</v>
      </c>
      <c r="G87" s="20">
        <f>M17</f>
        <v>-412322.90807171998</v>
      </c>
      <c r="H87" s="15" t="s">
        <v>207</v>
      </c>
    </row>
    <row r="88" spans="1:10" x14ac:dyDescent="0.4">
      <c r="B88" s="82">
        <v>0</v>
      </c>
      <c r="D88" t="s">
        <v>121</v>
      </c>
      <c r="G88" s="218">
        <f>F46</f>
        <v>-70091.6485500001</v>
      </c>
      <c r="H88" s="93" t="s">
        <v>24</v>
      </c>
    </row>
    <row r="89" spans="1:10" ht="15" thickBot="1" x14ac:dyDescent="0.45">
      <c r="B89" s="85">
        <f>SUM(B83:B88)</f>
        <v>-482417.22376155993</v>
      </c>
      <c r="D89" s="15" t="s">
        <v>91</v>
      </c>
      <c r="G89" s="87">
        <f>SUM(G87:G88)</f>
        <v>-482414.55662172008</v>
      </c>
      <c r="H89" s="15" t="s">
        <v>25</v>
      </c>
    </row>
    <row r="90" spans="1:10" ht="15" thickTop="1" x14ac:dyDescent="0.4"/>
    <row r="91" spans="1:10" x14ac:dyDescent="0.4">
      <c r="E91" s="342" t="s">
        <v>297</v>
      </c>
      <c r="F91" s="343">
        <f>B89/G89</f>
        <v>1.0000055287300171</v>
      </c>
    </row>
  </sheetData>
  <mergeCells count="18">
    <mergeCell ref="I52:J54"/>
    <mergeCell ref="I56:J56"/>
    <mergeCell ref="I58:J61"/>
    <mergeCell ref="I63:J64"/>
    <mergeCell ref="F35:F36"/>
    <mergeCell ref="G35:G36"/>
    <mergeCell ref="H35:H36"/>
    <mergeCell ref="A46:C46"/>
    <mergeCell ref="I46:L46"/>
    <mergeCell ref="I49:J50"/>
    <mergeCell ref="E50:F50"/>
    <mergeCell ref="D2:M2"/>
    <mergeCell ref="E8:M8"/>
    <mergeCell ref="E9:M9"/>
    <mergeCell ref="E10:H10"/>
    <mergeCell ref="I10:L10"/>
    <mergeCell ref="I33:L33"/>
    <mergeCell ref="A33:F33"/>
  </mergeCells>
  <dataValidations count="1">
    <dataValidation allowBlank="1" showInputMessage="1" showErrorMessage="1" prompt="If you have more than one DRS ORG ID number, combine the percentages." sqref="B16:B17"/>
  </dataValidations>
  <pageMargins left="0.7" right="0.7" top="0.75" bottom="0.75" header="0.3" footer="0.3"/>
  <pageSetup paperSize="17" scale="47" orientation="landscape" cellComments="asDisplayed" r:id="rId1"/>
  <ignoredErrors>
    <ignoredError sqref="H12:H1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9"/>
  <sheetViews>
    <sheetView zoomScaleNormal="100" workbookViewId="0"/>
  </sheetViews>
  <sheetFormatPr defaultRowHeight="14.6" x14ac:dyDescent="0.4"/>
  <cols>
    <col min="1" max="1" width="28.69140625" customWidth="1"/>
    <col min="2" max="2" width="12.69140625" customWidth="1"/>
    <col min="3" max="3" width="1.69140625" customWidth="1"/>
    <col min="4" max="8" width="15.69140625" customWidth="1"/>
    <col min="9" max="9" width="16.3046875" customWidth="1"/>
    <col min="10" max="18" width="15.69140625" customWidth="1"/>
    <col min="19" max="19" width="10.69140625" bestFit="1" customWidth="1"/>
  </cols>
  <sheetData>
    <row r="1" spans="1:17" x14ac:dyDescent="0.4">
      <c r="A1" s="1"/>
    </row>
    <row r="2" spans="1:17" x14ac:dyDescent="0.4">
      <c r="D2" s="364" t="s">
        <v>278</v>
      </c>
      <c r="E2" s="364"/>
      <c r="F2" s="364"/>
      <c r="G2" s="364"/>
      <c r="H2" s="364"/>
      <c r="I2" s="364"/>
      <c r="J2" s="364"/>
      <c r="K2" s="364"/>
      <c r="L2" s="364"/>
      <c r="M2" s="364"/>
      <c r="N2" s="338"/>
      <c r="O2" s="338"/>
      <c r="P2" s="309"/>
      <c r="Q2" s="309"/>
    </row>
    <row r="4" spans="1:17" x14ac:dyDescent="0.4">
      <c r="D4" s="2" t="s">
        <v>113</v>
      </c>
      <c r="E4" s="2"/>
      <c r="F4" s="2"/>
      <c r="G4" s="2"/>
      <c r="H4" s="2"/>
      <c r="I4" s="2"/>
      <c r="J4" s="2"/>
      <c r="K4" s="2"/>
      <c r="L4" s="2"/>
      <c r="M4" s="2"/>
      <c r="N4" s="2"/>
      <c r="O4" s="2"/>
      <c r="P4" s="2"/>
      <c r="Q4" s="2"/>
    </row>
    <row r="5" spans="1:17" x14ac:dyDescent="0.4">
      <c r="D5" s="2" t="s">
        <v>279</v>
      </c>
      <c r="E5" s="2"/>
      <c r="F5" s="2"/>
      <c r="G5" s="2"/>
      <c r="H5" s="2"/>
      <c r="I5" s="2"/>
      <c r="J5" s="2"/>
      <c r="K5" s="2"/>
      <c r="L5" s="2"/>
      <c r="M5" s="2"/>
      <c r="N5" s="2"/>
      <c r="O5" s="2"/>
      <c r="P5" s="2"/>
      <c r="Q5" s="2"/>
    </row>
    <row r="6" spans="1:17" x14ac:dyDescent="0.4">
      <c r="D6" s="3" t="s">
        <v>280</v>
      </c>
      <c r="E6" s="2"/>
      <c r="F6" s="2"/>
      <c r="G6" s="2"/>
      <c r="H6" s="2"/>
      <c r="I6" s="2"/>
      <c r="J6" s="2"/>
      <c r="K6" s="2"/>
      <c r="L6" s="2"/>
      <c r="M6" s="2"/>
      <c r="N6" s="2"/>
      <c r="O6" s="2"/>
      <c r="P6" s="2"/>
      <c r="Q6" s="2"/>
    </row>
    <row r="7" spans="1:17" x14ac:dyDescent="0.4">
      <c r="D7" s="3" t="s">
        <v>281</v>
      </c>
      <c r="E7" s="4"/>
      <c r="F7" s="2"/>
      <c r="G7" s="2"/>
      <c r="H7" s="2"/>
      <c r="I7" s="2"/>
      <c r="J7" s="2"/>
      <c r="K7" s="2"/>
      <c r="L7" s="2"/>
      <c r="M7" s="2"/>
      <c r="N7" s="2"/>
      <c r="O7" s="2"/>
      <c r="P7" s="2"/>
      <c r="Q7" s="2"/>
    </row>
    <row r="8" spans="1:17" x14ac:dyDescent="0.4">
      <c r="E8" s="365"/>
      <c r="F8" s="365"/>
      <c r="G8" s="365"/>
      <c r="H8" s="365"/>
      <c r="I8" s="365"/>
      <c r="J8" s="365"/>
      <c r="K8" s="365"/>
      <c r="L8" s="365"/>
      <c r="M8" s="365"/>
      <c r="N8" s="339"/>
      <c r="O8" s="339"/>
      <c r="P8" s="310"/>
      <c r="Q8" s="310"/>
    </row>
    <row r="9" spans="1:17" ht="15" thickBot="1" x14ac:dyDescent="0.45">
      <c r="E9" s="365"/>
      <c r="F9" s="365"/>
      <c r="G9" s="365"/>
      <c r="H9" s="365"/>
      <c r="I9" s="365"/>
      <c r="J9" s="365"/>
      <c r="K9" s="365"/>
      <c r="L9" s="365"/>
      <c r="M9" s="365"/>
      <c r="N9" s="339"/>
      <c r="O9" s="339"/>
      <c r="P9" s="310"/>
      <c r="Q9" s="310"/>
    </row>
    <row r="10" spans="1:17" ht="15" thickBot="1" x14ac:dyDescent="0.45">
      <c r="B10" s="177" t="s">
        <v>148</v>
      </c>
      <c r="E10" s="366" t="s">
        <v>208</v>
      </c>
      <c r="F10" s="367"/>
      <c r="G10" s="367"/>
      <c r="H10" s="367"/>
      <c r="I10" s="368" t="s">
        <v>13</v>
      </c>
      <c r="J10" s="369"/>
      <c r="K10" s="369"/>
      <c r="L10" s="370"/>
    </row>
    <row r="11" spans="1:17" ht="117" thickBot="1" x14ac:dyDescent="0.45">
      <c r="A11" s="132"/>
      <c r="D11" s="32" t="s">
        <v>104</v>
      </c>
      <c r="E11" s="33" t="s">
        <v>0</v>
      </c>
      <c r="F11" s="33" t="s">
        <v>1</v>
      </c>
      <c r="G11" s="33" t="s">
        <v>2</v>
      </c>
      <c r="H11" s="46" t="s">
        <v>14</v>
      </c>
      <c r="I11" s="35" t="s">
        <v>0</v>
      </c>
      <c r="J11" s="35" t="s">
        <v>1</v>
      </c>
      <c r="K11" s="35" t="s">
        <v>2</v>
      </c>
      <c r="L11" s="67" t="s">
        <v>15</v>
      </c>
      <c r="M11" s="31" t="s">
        <v>3</v>
      </c>
      <c r="N11" s="276"/>
      <c r="O11" s="276"/>
      <c r="P11" s="276"/>
      <c r="Q11" s="276"/>
    </row>
    <row r="12" spans="1:17" x14ac:dyDescent="0.4">
      <c r="A12" s="1" t="s">
        <v>282</v>
      </c>
      <c r="D12" s="36">
        <v>1387676000</v>
      </c>
      <c r="E12" s="70">
        <v>60991000</v>
      </c>
      <c r="F12" s="70"/>
      <c r="G12" s="70">
        <v>1671000</v>
      </c>
      <c r="H12" s="71">
        <f>SUM(E12:G12)</f>
        <v>62662000</v>
      </c>
      <c r="I12" s="353">
        <v>-52623000</v>
      </c>
      <c r="J12" s="40">
        <v>-311543000</v>
      </c>
      <c r="K12" s="39"/>
      <c r="L12" s="41">
        <f>+SUM(I12:K12)</f>
        <v>-364166000</v>
      </c>
      <c r="M12" s="5"/>
      <c r="N12" s="5"/>
      <c r="O12" s="5"/>
      <c r="P12" s="5"/>
      <c r="Q12" s="5"/>
    </row>
    <row r="13" spans="1:17" ht="15" thickBot="1" x14ac:dyDescent="0.45">
      <c r="A13" s="176" t="s">
        <v>283</v>
      </c>
      <c r="B13" s="175"/>
      <c r="C13" s="175"/>
      <c r="D13" s="37">
        <v>2030218000</v>
      </c>
      <c r="E13" s="38">
        <v>108754811</v>
      </c>
      <c r="F13" s="38"/>
      <c r="G13" s="38">
        <v>1149230</v>
      </c>
      <c r="H13" s="38">
        <f>SUM(E13:G13)</f>
        <v>109904041</v>
      </c>
      <c r="I13" s="43">
        <v>-47141884</v>
      </c>
      <c r="J13" s="43">
        <v>-355315469</v>
      </c>
      <c r="K13" s="43">
        <v>-291372993</v>
      </c>
      <c r="L13" s="44">
        <f>+SUM(I13:K13)</f>
        <v>-693830346</v>
      </c>
      <c r="M13" s="34">
        <v>-185544518</v>
      </c>
      <c r="N13" s="277"/>
      <c r="O13" s="277"/>
      <c r="P13" s="277"/>
      <c r="Q13" s="277"/>
    </row>
    <row r="14" spans="1:17" ht="15" thickTop="1" x14ac:dyDescent="0.4"/>
    <row r="15" spans="1:17" ht="15" thickBot="1" x14ac:dyDescent="0.45">
      <c r="A15" s="15" t="s">
        <v>147</v>
      </c>
    </row>
    <row r="16" spans="1:17" ht="15" thickBot="1" x14ac:dyDescent="0.45">
      <c r="A16" s="6" t="s">
        <v>265</v>
      </c>
      <c r="B16" s="122">
        <v>5.5921499999999997E-3</v>
      </c>
      <c r="C16" s="6"/>
      <c r="D16" s="164">
        <f>D12*$B$16</f>
        <v>7760092.3433999997</v>
      </c>
      <c r="E16" s="166">
        <f t="shared" ref="E16:L16" si="0">E12*$B$16</f>
        <v>341070.82065000001</v>
      </c>
      <c r="F16" s="166">
        <f t="shared" si="0"/>
        <v>0</v>
      </c>
      <c r="G16" s="166">
        <f t="shared" si="0"/>
        <v>9344.4826499999999</v>
      </c>
      <c r="H16" s="167">
        <f t="shared" si="0"/>
        <v>350415.30329999997</v>
      </c>
      <c r="I16" s="170">
        <f t="shared" si="0"/>
        <v>-294275.70944999997</v>
      </c>
      <c r="J16" s="170">
        <f t="shared" si="0"/>
        <v>-1742195.1874499999</v>
      </c>
      <c r="K16" s="170">
        <f t="shared" si="0"/>
        <v>0</v>
      </c>
      <c r="L16" s="171">
        <f t="shared" si="0"/>
        <v>-2036470.8968999998</v>
      </c>
      <c r="M16" s="7"/>
      <c r="N16" s="7"/>
      <c r="O16" s="7"/>
      <c r="P16" s="7"/>
      <c r="Q16" s="7"/>
    </row>
    <row r="17" spans="1:17" ht="15" thickBot="1" x14ac:dyDescent="0.45">
      <c r="A17" s="6" t="s">
        <v>316</v>
      </c>
      <c r="B17" s="122">
        <v>5.8659699999999999E-3</v>
      </c>
      <c r="C17" s="6"/>
      <c r="D17" s="165">
        <f>D13*$B$17</f>
        <v>11909197.88146</v>
      </c>
      <c r="E17" s="168">
        <f>E13*$B$17</f>
        <v>637952.45868167002</v>
      </c>
      <c r="F17" s="168">
        <f t="shared" ref="F17:M17" si="1">F13*$B$17</f>
        <v>0</v>
      </c>
      <c r="G17" s="168">
        <f t="shared" si="1"/>
        <v>6741.3487030999995</v>
      </c>
      <c r="H17" s="169">
        <f t="shared" si="1"/>
        <v>644693.80738477001</v>
      </c>
      <c r="I17" s="172">
        <f t="shared" si="1"/>
        <v>-276532.87728747999</v>
      </c>
      <c r="J17" s="172">
        <f t="shared" si="1"/>
        <v>-2084269.8816899299</v>
      </c>
      <c r="K17" s="172">
        <f t="shared" si="1"/>
        <v>-1709185.23574821</v>
      </c>
      <c r="L17" s="173">
        <f t="shared" si="1"/>
        <v>-4069987.9947256199</v>
      </c>
      <c r="M17" s="8">
        <f t="shared" si="1"/>
        <v>-1088398.57625246</v>
      </c>
      <c r="N17" s="8"/>
      <c r="O17" s="8"/>
      <c r="P17" s="8"/>
      <c r="Q17" s="8"/>
    </row>
    <row r="18" spans="1:17" ht="15" thickBot="1" x14ac:dyDescent="0.45">
      <c r="A18" s="6"/>
      <c r="B18" s="6"/>
      <c r="C18" s="6"/>
      <c r="D18" s="6"/>
      <c r="E18" s="6"/>
    </row>
    <row r="19" spans="1:17" ht="15" thickBot="1" x14ac:dyDescent="0.45">
      <c r="A19" s="6" t="s">
        <v>255</v>
      </c>
      <c r="B19" s="6"/>
      <c r="C19" s="6"/>
      <c r="D19" s="216">
        <v>510529</v>
      </c>
      <c r="E19" s="6"/>
    </row>
    <row r="20" spans="1:17" ht="15" thickBot="1" x14ac:dyDescent="0.45">
      <c r="A20" s="6" t="s">
        <v>285</v>
      </c>
      <c r="B20" s="6"/>
      <c r="C20" s="6"/>
      <c r="D20" s="216">
        <v>531427</v>
      </c>
      <c r="E20" s="6"/>
    </row>
    <row r="21" spans="1:17" x14ac:dyDescent="0.4">
      <c r="A21" s="6"/>
      <c r="B21" s="6"/>
      <c r="C21" s="6"/>
      <c r="D21" s="6"/>
      <c r="E21" s="6"/>
      <c r="H21" s="47"/>
    </row>
    <row r="22" spans="1:17" x14ac:dyDescent="0.4">
      <c r="A22" s="9"/>
      <c r="B22" s="6"/>
      <c r="C22" s="6"/>
      <c r="D22" s="6"/>
      <c r="E22" s="6"/>
      <c r="H22" s="47"/>
    </row>
    <row r="23" spans="1:17" x14ac:dyDescent="0.4">
      <c r="A23" s="1"/>
      <c r="B23" s="6"/>
      <c r="C23" s="6"/>
      <c r="D23" s="10" t="s">
        <v>4</v>
      </c>
      <c r="E23" s="10" t="s">
        <v>5</v>
      </c>
    </row>
    <row r="24" spans="1:17" x14ac:dyDescent="0.4">
      <c r="A24" s="68" t="s">
        <v>65</v>
      </c>
      <c r="B24" s="6"/>
      <c r="C24" s="6"/>
      <c r="D24" s="11"/>
      <c r="E24" s="11"/>
      <c r="F24" s="13"/>
      <c r="G24" s="13"/>
      <c r="H24" s="19"/>
    </row>
    <row r="25" spans="1:17" x14ac:dyDescent="0.4">
      <c r="A25" s="6" t="s">
        <v>298</v>
      </c>
      <c r="B25" s="6"/>
      <c r="C25" s="6"/>
      <c r="D25" s="11">
        <f>D17</f>
        <v>11909197.88146</v>
      </c>
      <c r="E25" s="11"/>
      <c r="F25" s="14"/>
      <c r="G25" s="14"/>
      <c r="H25" s="19"/>
    </row>
    <row r="26" spans="1:17" x14ac:dyDescent="0.4">
      <c r="A26" s="6" t="s">
        <v>299</v>
      </c>
      <c r="B26" s="6"/>
      <c r="C26" s="6"/>
      <c r="D26" s="11"/>
      <c r="E26" s="11">
        <f>-D16</f>
        <v>-7760092.3433999997</v>
      </c>
      <c r="F26" s="15"/>
      <c r="G26" s="15"/>
      <c r="H26" s="19"/>
    </row>
    <row r="27" spans="1:17" x14ac:dyDescent="0.4">
      <c r="A27" s="6" t="s">
        <v>304</v>
      </c>
      <c r="D27" s="16">
        <f>H17</f>
        <v>644693.80738477001</v>
      </c>
      <c r="E27" s="16"/>
      <c r="H27" s="12"/>
    </row>
    <row r="28" spans="1:17" x14ac:dyDescent="0.4">
      <c r="A28" s="45" t="s">
        <v>305</v>
      </c>
      <c r="D28" s="16"/>
      <c r="E28" s="16">
        <f>-H16</f>
        <v>-350415.30329999997</v>
      </c>
      <c r="H28" s="12"/>
    </row>
    <row r="29" spans="1:17" x14ac:dyDescent="0.4">
      <c r="A29" s="45" t="s">
        <v>301</v>
      </c>
      <c r="D29" s="16">
        <f>-L16</f>
        <v>2036470.8968999998</v>
      </c>
      <c r="E29" s="16"/>
      <c r="H29" s="48"/>
    </row>
    <row r="30" spans="1:17" x14ac:dyDescent="0.4">
      <c r="A30" s="45" t="s">
        <v>306</v>
      </c>
      <c r="E30" s="16">
        <f>L17</f>
        <v>-4069987.9947256199</v>
      </c>
      <c r="F30" s="15"/>
      <c r="G30" s="15"/>
      <c r="H30" s="17"/>
    </row>
    <row r="31" spans="1:17" x14ac:dyDescent="0.4">
      <c r="A31" t="s">
        <v>292</v>
      </c>
      <c r="D31" s="11">
        <f>D20</f>
        <v>531427</v>
      </c>
      <c r="H31" s="20"/>
    </row>
    <row r="32" spans="1:17" x14ac:dyDescent="0.4">
      <c r="A32" t="s">
        <v>293</v>
      </c>
      <c r="D32" s="11"/>
      <c r="E32" s="16">
        <f>-D19</f>
        <v>-510529</v>
      </c>
      <c r="H32" s="12"/>
    </row>
    <row r="33" spans="1:15" x14ac:dyDescent="0.4">
      <c r="A33" s="6" t="str">
        <f>IF(SUM(D25:E32)&lt;0, "Adjustment to Pension Expense","     Adjustment to Pension Expense")</f>
        <v xml:space="preserve">     Adjustment to Pension Expense</v>
      </c>
      <c r="D33" s="253">
        <f>IF(SUM(D25:E32)&lt;0, SUM(D25:E32)*-1, 0)</f>
        <v>0</v>
      </c>
      <c r="E33" s="253">
        <f>IF(SUM(D25:E32)&lt;0, 0, SUM(D25:E32)*-1)</f>
        <v>-2430764.9443191509</v>
      </c>
      <c r="H33" s="12"/>
    </row>
    <row r="34" spans="1:15" x14ac:dyDescent="0.4">
      <c r="H34" s="12"/>
    </row>
    <row r="35" spans="1:15" x14ac:dyDescent="0.4">
      <c r="A35" s="68" t="s">
        <v>64</v>
      </c>
      <c r="D35" s="16"/>
      <c r="E35" s="16"/>
      <c r="H35" s="49"/>
    </row>
    <row r="36" spans="1:15" ht="14.7" customHeight="1" x14ac:dyDescent="0.4">
      <c r="A36" s="390" t="str">
        <f>IF(F69&gt;0, "Deferred Outflows", "Adj. to Pension Expense")</f>
        <v>Adj. to Pension Expense</v>
      </c>
      <c r="B36" s="390"/>
      <c r="D36" s="16">
        <f>IF(F69&gt;0, F69, -F69)</f>
        <v>297415.61704000027</v>
      </c>
      <c r="F36" s="18"/>
      <c r="G36" s="18"/>
      <c r="H36" s="30"/>
    </row>
    <row r="37" spans="1:15" x14ac:dyDescent="0.4">
      <c r="A37" s="21" t="str">
        <f>IF(F69&gt;0,"Adj. to Pension Expense"," Deferred Inflow")</f>
        <v xml:space="preserve"> Deferred Inflow</v>
      </c>
      <c r="D37" s="16"/>
      <c r="E37" s="16">
        <f>IF(F69&gt;0, -F69, F69)</f>
        <v>-297415.61704000027</v>
      </c>
      <c r="F37" s="18"/>
      <c r="G37" s="18"/>
      <c r="H37" s="19"/>
    </row>
    <row r="38" spans="1:15" x14ac:dyDescent="0.4">
      <c r="D38" s="16"/>
      <c r="E38" s="16"/>
      <c r="F38" s="15"/>
      <c r="G38" s="15"/>
      <c r="H38" s="20"/>
    </row>
    <row r="39" spans="1:15" x14ac:dyDescent="0.4">
      <c r="A39" s="68" t="s">
        <v>55</v>
      </c>
      <c r="D39" s="16"/>
      <c r="E39" s="16"/>
      <c r="F39" s="15"/>
      <c r="G39" s="15"/>
      <c r="H39" s="20"/>
    </row>
    <row r="40" spans="1:15" x14ac:dyDescent="0.4">
      <c r="A40" s="6" t="str">
        <f>IF(SUM(D41:E42)&lt;0, "Adjustment to Pension Expense","     Adjustment to Pension Expense")</f>
        <v xml:space="preserve">     Adjustment to Pension Expense</v>
      </c>
      <c r="D40" s="253">
        <f>IF(SUM(D41:E42)&lt;0, SUM(D41:E42)*-1, 0)</f>
        <v>0</v>
      </c>
      <c r="E40" s="253">
        <f>IF(SUM(D41:E42)&lt;0, 0, SUM(D41:E42)*-1)</f>
        <v>-39760.29686095241</v>
      </c>
      <c r="F40" s="18"/>
      <c r="G40" s="18"/>
      <c r="H40" s="20"/>
    </row>
    <row r="41" spans="1:15" x14ac:dyDescent="0.4">
      <c r="A41" s="6" t="s">
        <v>57</v>
      </c>
      <c r="D41" s="16">
        <f>-J56-L56-N56-P56</f>
        <v>62567.29686095241</v>
      </c>
      <c r="E41" s="16"/>
      <c r="F41" s="18"/>
      <c r="G41" s="18"/>
      <c r="H41" s="20"/>
    </row>
    <row r="42" spans="1:15" x14ac:dyDescent="0.4">
      <c r="A42" s="231" t="s">
        <v>236</v>
      </c>
      <c r="D42" s="16"/>
      <c r="E42" s="16">
        <f>-K56-M56-O56-Q56</f>
        <v>-22807</v>
      </c>
      <c r="H42" s="12"/>
    </row>
    <row r="43" spans="1:15" x14ac:dyDescent="0.4">
      <c r="A43" s="6"/>
      <c r="D43" s="16"/>
      <c r="E43" s="16"/>
      <c r="H43" s="12"/>
    </row>
    <row r="44" spans="1:15" x14ac:dyDescent="0.4">
      <c r="A44" s="109" t="s">
        <v>133</v>
      </c>
      <c r="D44" s="16"/>
      <c r="E44" s="16"/>
      <c r="H44" s="12"/>
    </row>
    <row r="45" spans="1:15" x14ac:dyDescent="0.4">
      <c r="A45" t="s">
        <v>17</v>
      </c>
      <c r="D45" s="16">
        <f>'5 - SpecFndg'!D40</f>
        <v>658626.88034396002</v>
      </c>
      <c r="E45" s="16"/>
      <c r="H45" s="12"/>
      <c r="J45" s="135"/>
    </row>
    <row r="46" spans="1:15" x14ac:dyDescent="0.4">
      <c r="A46" t="s">
        <v>128</v>
      </c>
      <c r="D46" s="16"/>
      <c r="E46" s="16">
        <f>'5 - SpecFndg'!E41</f>
        <v>-658626.88034396002</v>
      </c>
      <c r="H46" s="12"/>
      <c r="J46" s="135"/>
    </row>
    <row r="47" spans="1:15" x14ac:dyDescent="0.4">
      <c r="D47" s="16"/>
      <c r="E47" s="16"/>
      <c r="J47" s="327" t="s">
        <v>262</v>
      </c>
      <c r="K47" s="291"/>
      <c r="L47" s="290"/>
      <c r="M47" s="291"/>
      <c r="N47" s="291"/>
      <c r="O47" s="291"/>
    </row>
    <row r="48" spans="1:15" ht="15" thickBot="1" x14ac:dyDescent="0.45">
      <c r="A48" s="15"/>
      <c r="B48" s="18"/>
      <c r="D48" s="29"/>
      <c r="E48" s="16"/>
      <c r="J48" s="327" t="s">
        <v>274</v>
      </c>
      <c r="K48" s="291"/>
      <c r="L48" s="290"/>
      <c r="M48" s="291"/>
      <c r="N48" s="291"/>
      <c r="O48" s="291"/>
    </row>
    <row r="49" spans="1:19" ht="15" thickBot="1" x14ac:dyDescent="0.45">
      <c r="A49" s="387" t="s">
        <v>109</v>
      </c>
      <c r="B49" s="388"/>
      <c r="C49" s="388"/>
      <c r="D49" s="388"/>
      <c r="E49" s="388"/>
      <c r="F49" s="389"/>
      <c r="G49" s="57"/>
      <c r="H49" s="57"/>
      <c r="I49" s="391" t="s">
        <v>110</v>
      </c>
      <c r="J49" s="392"/>
      <c r="K49" s="392"/>
      <c r="L49" s="392"/>
      <c r="M49" s="392"/>
      <c r="N49" s="392"/>
      <c r="O49" s="392"/>
      <c r="P49" s="392"/>
      <c r="Q49" s="392"/>
      <c r="R49" s="393"/>
    </row>
    <row r="50" spans="1:19" x14ac:dyDescent="0.4">
      <c r="A50" s="312"/>
      <c r="B50" s="12"/>
      <c r="C50" s="12"/>
      <c r="D50" s="20"/>
      <c r="E50" s="20"/>
      <c r="F50" s="313"/>
      <c r="G50" s="50"/>
      <c r="H50" s="12"/>
      <c r="I50" s="55"/>
      <c r="J50" s="255">
        <v>2015</v>
      </c>
      <c r="K50" s="255">
        <v>2015</v>
      </c>
      <c r="L50" s="255">
        <v>2016</v>
      </c>
      <c r="M50" s="255">
        <v>2016</v>
      </c>
      <c r="N50" s="255">
        <v>2017</v>
      </c>
      <c r="O50" s="255">
        <v>2017</v>
      </c>
      <c r="P50" s="341">
        <v>2018</v>
      </c>
      <c r="Q50" s="341">
        <v>2018</v>
      </c>
      <c r="R50" s="104"/>
    </row>
    <row r="51" spans="1:19" x14ac:dyDescent="0.4">
      <c r="A51" s="312"/>
      <c r="B51" s="12"/>
      <c r="C51" s="12"/>
      <c r="D51" s="22" t="s">
        <v>256</v>
      </c>
      <c r="E51" s="22" t="s">
        <v>294</v>
      </c>
      <c r="F51" s="384" t="s">
        <v>4</v>
      </c>
      <c r="G51" s="385"/>
      <c r="H51" s="386"/>
      <c r="I51" s="55"/>
      <c r="J51" s="255" t="s">
        <v>111</v>
      </c>
      <c r="K51" s="255" t="s">
        <v>111</v>
      </c>
      <c r="L51" s="255" t="s">
        <v>106</v>
      </c>
      <c r="M51" s="255" t="s">
        <v>106</v>
      </c>
      <c r="N51" s="255" t="s">
        <v>266</v>
      </c>
      <c r="O51" s="255" t="s">
        <v>266</v>
      </c>
      <c r="P51" s="341" t="s">
        <v>319</v>
      </c>
      <c r="Q51" s="341" t="s">
        <v>319</v>
      </c>
      <c r="R51" s="104" t="s">
        <v>46</v>
      </c>
    </row>
    <row r="52" spans="1:19" x14ac:dyDescent="0.4">
      <c r="A52" s="312"/>
      <c r="B52" s="12"/>
      <c r="C52" s="12"/>
      <c r="D52" s="23">
        <f>B16</f>
        <v>5.5921499999999997E-3</v>
      </c>
      <c r="E52" s="23">
        <f>B17</f>
        <v>5.8659699999999999E-3</v>
      </c>
      <c r="F52" s="384"/>
      <c r="G52" s="385"/>
      <c r="H52" s="386"/>
      <c r="I52" s="105"/>
      <c r="J52" s="235" t="s">
        <v>268</v>
      </c>
      <c r="K52" s="235" t="s">
        <v>234</v>
      </c>
      <c r="L52" s="235" t="s">
        <v>235</v>
      </c>
      <c r="M52" s="235" t="s">
        <v>234</v>
      </c>
      <c r="N52" s="235" t="s">
        <v>318</v>
      </c>
      <c r="O52" s="235" t="s">
        <v>267</v>
      </c>
      <c r="P52" s="96" t="s">
        <v>320</v>
      </c>
      <c r="Q52" s="96" t="s">
        <v>234</v>
      </c>
      <c r="R52" s="106" t="s">
        <v>47</v>
      </c>
    </row>
    <row r="53" spans="1:19" x14ac:dyDescent="0.4">
      <c r="A53" s="312"/>
      <c r="B53" s="12"/>
      <c r="C53" s="12"/>
      <c r="D53" s="12"/>
      <c r="E53" s="12"/>
      <c r="F53" s="313"/>
      <c r="G53" s="50"/>
      <c r="H53" s="12"/>
      <c r="I53" s="105">
        <v>2015</v>
      </c>
      <c r="J53" s="232">
        <v>-2045</v>
      </c>
      <c r="K53" s="320">
        <v>0</v>
      </c>
      <c r="L53" s="232"/>
      <c r="M53" s="232"/>
      <c r="N53" s="232"/>
      <c r="O53" s="232"/>
      <c r="P53" s="103"/>
      <c r="Q53" s="103"/>
      <c r="R53" s="254">
        <f>SUM(J53:Q53)</f>
        <v>-2045</v>
      </c>
    </row>
    <row r="54" spans="1:19" x14ac:dyDescent="0.4">
      <c r="A54" s="312"/>
      <c r="B54" s="12"/>
      <c r="C54" s="12"/>
      <c r="D54" s="12"/>
      <c r="E54" s="12"/>
      <c r="F54" s="313"/>
      <c r="G54" s="50"/>
      <c r="H54" s="12"/>
      <c r="I54" s="105">
        <v>2016</v>
      </c>
      <c r="J54" s="232">
        <v>-2045</v>
      </c>
      <c r="K54" s="320">
        <v>0</v>
      </c>
      <c r="L54" s="232">
        <v>-32197</v>
      </c>
      <c r="M54" s="232">
        <v>0</v>
      </c>
      <c r="N54" s="232"/>
      <c r="O54" s="232"/>
      <c r="P54" s="103"/>
      <c r="Q54" s="103"/>
      <c r="R54" s="254">
        <f>SUM(J54:Q54)</f>
        <v>-34242</v>
      </c>
    </row>
    <row r="55" spans="1:19" x14ac:dyDescent="0.4">
      <c r="A55" s="312"/>
      <c r="B55" s="12"/>
      <c r="C55" s="12"/>
      <c r="D55" s="12"/>
      <c r="E55" s="12"/>
      <c r="F55" s="313"/>
      <c r="G55" s="50"/>
      <c r="H55" s="12"/>
      <c r="I55" s="105">
        <v>2017</v>
      </c>
      <c r="J55" s="232">
        <v>-2045</v>
      </c>
      <c r="K55" s="320">
        <v>0</v>
      </c>
      <c r="L55" s="232">
        <v>-32197</v>
      </c>
      <c r="M55" s="232">
        <v>0</v>
      </c>
      <c r="N55" s="232">
        <v>0</v>
      </c>
      <c r="O55" s="232">
        <v>22807</v>
      </c>
      <c r="P55" s="258"/>
      <c r="Q55" s="258"/>
      <c r="R55" s="254">
        <f>SUM(J55:Q55)</f>
        <v>-11435</v>
      </c>
      <c r="S55" s="131"/>
    </row>
    <row r="56" spans="1:19" ht="15" thickBot="1" x14ac:dyDescent="0.45">
      <c r="A56" s="312" t="s">
        <v>105</v>
      </c>
      <c r="B56" s="12"/>
      <c r="C56" s="12"/>
      <c r="D56" s="139">
        <f>D16</f>
        <v>7760092.3433999997</v>
      </c>
      <c r="E56" s="88">
        <f>D12*$B$17</f>
        <v>8140065.78572</v>
      </c>
      <c r="F56" s="58">
        <f>E56-D56</f>
        <v>379973.44232000038</v>
      </c>
      <c r="G56" s="208"/>
      <c r="H56" s="26"/>
      <c r="I56" s="105">
        <v>2018</v>
      </c>
      <c r="J56" s="352">
        <v>-2045</v>
      </c>
      <c r="K56" s="352">
        <v>0</v>
      </c>
      <c r="L56" s="352">
        <v>-32197</v>
      </c>
      <c r="M56" s="348">
        <v>0</v>
      </c>
      <c r="N56" s="348">
        <v>0</v>
      </c>
      <c r="O56" s="348">
        <v>22807</v>
      </c>
      <c r="P56" s="357">
        <f>IF(F74&lt;0, F74, 0)</f>
        <v>-28325.296860952407</v>
      </c>
      <c r="Q56" s="350">
        <f>IF(F74&gt;0, F74, 0)</f>
        <v>0</v>
      </c>
      <c r="R56" s="358">
        <f>SUM(J56:Q56)</f>
        <v>-39760.29686095241</v>
      </c>
      <c r="S56" s="131" t="s">
        <v>311</v>
      </c>
    </row>
    <row r="57" spans="1:19" x14ac:dyDescent="0.4">
      <c r="A57" s="312"/>
      <c r="B57" s="12"/>
      <c r="C57" s="12"/>
      <c r="D57" s="25"/>
      <c r="E57" s="25"/>
      <c r="F57" s="58"/>
      <c r="G57" s="209"/>
      <c r="H57" s="25"/>
      <c r="I57" s="105">
        <v>2019</v>
      </c>
      <c r="J57" s="233">
        <v>-2045</v>
      </c>
      <c r="K57" s="233">
        <v>0</v>
      </c>
      <c r="L57" s="233">
        <v>-32197</v>
      </c>
      <c r="M57" s="318">
        <v>0</v>
      </c>
      <c r="N57" s="318">
        <v>0</v>
      </c>
      <c r="O57" s="318">
        <v>22807</v>
      </c>
      <c r="P57" s="321">
        <f>IF(F75&lt;0, F75, 0)</f>
        <v>-28325.296860952407</v>
      </c>
      <c r="Q57" s="262">
        <f>IF(F75&gt;0, F75, 0)</f>
        <v>0</v>
      </c>
      <c r="R57" s="259">
        <f>SUM(J57:Q57)</f>
        <v>-39760.29686095241</v>
      </c>
    </row>
    <row r="58" spans="1:19" x14ac:dyDescent="0.4">
      <c r="A58" s="312"/>
      <c r="B58" s="12"/>
      <c r="C58" s="12"/>
      <c r="D58" s="25"/>
      <c r="E58" s="25"/>
      <c r="F58" s="58"/>
      <c r="G58" s="209"/>
      <c r="H58" s="25"/>
      <c r="I58" s="105">
        <v>2020</v>
      </c>
      <c r="J58" s="234">
        <v>-2045</v>
      </c>
      <c r="K58" s="234">
        <v>0</v>
      </c>
      <c r="L58" s="234">
        <v>-32197</v>
      </c>
      <c r="M58" s="308">
        <v>0</v>
      </c>
      <c r="N58" s="308">
        <v>0</v>
      </c>
      <c r="O58" s="308">
        <v>22807</v>
      </c>
      <c r="P58" s="322">
        <f>IF(F76&lt;0, F76, 0)</f>
        <v>-28325.296860952407</v>
      </c>
      <c r="Q58" s="263">
        <f t="shared" ref="Q58:Q65" si="2">IF(F76&gt;0, F76, 0)</f>
        <v>0</v>
      </c>
      <c r="R58" s="260">
        <f t="shared" ref="R58:R65" si="3">SUM(J58:Q58)</f>
        <v>-39760.29686095241</v>
      </c>
    </row>
    <row r="59" spans="1:19" x14ac:dyDescent="0.4">
      <c r="A59" s="312" t="s">
        <v>8</v>
      </c>
      <c r="B59" s="12"/>
      <c r="C59" s="12"/>
      <c r="D59" s="25">
        <f>H16</f>
        <v>350415.30329999997</v>
      </c>
      <c r="E59" s="88">
        <f>H12*$B$17</f>
        <v>367573.41213999997</v>
      </c>
      <c r="F59" s="58">
        <f>E59-D59</f>
        <v>17158.108840000001</v>
      </c>
      <c r="G59" s="208"/>
      <c r="H59" s="26"/>
      <c r="I59" s="105">
        <v>2021</v>
      </c>
      <c r="J59" s="234">
        <v>-409</v>
      </c>
      <c r="K59" s="234">
        <v>0</v>
      </c>
      <c r="L59" s="234">
        <v>-32197</v>
      </c>
      <c r="M59" s="308">
        <v>0</v>
      </c>
      <c r="N59" s="308">
        <v>0</v>
      </c>
      <c r="O59" s="308">
        <v>22807</v>
      </c>
      <c r="P59" s="322">
        <f t="shared" ref="P59:P65" si="4">IF(F77&lt;0, F77, 0)</f>
        <v>-28325.296860952407</v>
      </c>
      <c r="Q59" s="263">
        <f t="shared" si="2"/>
        <v>0</v>
      </c>
      <c r="R59" s="260">
        <f t="shared" si="3"/>
        <v>-38124.29686095241</v>
      </c>
    </row>
    <row r="60" spans="1:19" x14ac:dyDescent="0.4">
      <c r="A60" s="312"/>
      <c r="B60" s="12"/>
      <c r="C60" s="12"/>
      <c r="D60" s="25"/>
      <c r="E60" s="25"/>
      <c r="F60" s="58"/>
      <c r="G60" s="209"/>
      <c r="H60" s="25"/>
      <c r="I60" s="105">
        <v>2022</v>
      </c>
      <c r="J60" s="234"/>
      <c r="K60" s="234"/>
      <c r="L60" s="234"/>
      <c r="M60" s="308"/>
      <c r="N60" s="308">
        <v>0</v>
      </c>
      <c r="O60" s="308">
        <v>22807</v>
      </c>
      <c r="P60" s="322">
        <f t="shared" si="4"/>
        <v>-28325.296860952407</v>
      </c>
      <c r="Q60" s="263">
        <f t="shared" si="2"/>
        <v>0</v>
      </c>
      <c r="R60" s="260">
        <f t="shared" si="3"/>
        <v>-5518.2968609524069</v>
      </c>
    </row>
    <row r="61" spans="1:19" x14ac:dyDescent="0.4">
      <c r="A61" s="312"/>
      <c r="B61" s="12"/>
      <c r="C61" s="12"/>
      <c r="D61" s="25"/>
      <c r="E61" s="25"/>
      <c r="F61" s="58"/>
      <c r="G61" s="209"/>
      <c r="H61" s="25"/>
      <c r="I61" s="105">
        <v>2023</v>
      </c>
      <c r="J61" s="234"/>
      <c r="K61" s="234"/>
      <c r="L61" s="234"/>
      <c r="M61" s="308"/>
      <c r="N61" s="308">
        <v>0</v>
      </c>
      <c r="O61" s="308">
        <v>22807</v>
      </c>
      <c r="P61" s="322">
        <f t="shared" si="4"/>
        <v>-28325.296860952407</v>
      </c>
      <c r="Q61" s="263">
        <f t="shared" si="2"/>
        <v>0</v>
      </c>
      <c r="R61" s="260">
        <f t="shared" si="3"/>
        <v>-5518.2968609524069</v>
      </c>
    </row>
    <row r="62" spans="1:19" ht="15" thickBot="1" x14ac:dyDescent="0.45">
      <c r="A62" s="312" t="s">
        <v>9</v>
      </c>
      <c r="B62" s="12"/>
      <c r="C62" s="12"/>
      <c r="D62" s="24">
        <f>L16</f>
        <v>-2036470.8968999998</v>
      </c>
      <c r="E62" s="88">
        <f>L12*$B$17</f>
        <v>-2136186.8310199999</v>
      </c>
      <c r="F62" s="60">
        <f>E62-D62</f>
        <v>-99715.934120000107</v>
      </c>
      <c r="G62" s="208"/>
      <c r="H62" s="26"/>
      <c r="I62" s="105">
        <v>2024</v>
      </c>
      <c r="J62" s="234"/>
      <c r="K62" s="234"/>
      <c r="L62" s="234"/>
      <c r="M62" s="308"/>
      <c r="N62" s="308">
        <v>0</v>
      </c>
      <c r="O62" s="308">
        <v>22807</v>
      </c>
      <c r="P62" s="322">
        <f t="shared" si="4"/>
        <v>-28325.296860952407</v>
      </c>
      <c r="Q62" s="263">
        <f t="shared" si="2"/>
        <v>0</v>
      </c>
      <c r="R62" s="260">
        <f t="shared" si="3"/>
        <v>-5518.2968609524069</v>
      </c>
    </row>
    <row r="63" spans="1:19" ht="15" thickTop="1" x14ac:dyDescent="0.4">
      <c r="A63" s="312"/>
      <c r="B63" s="12"/>
      <c r="C63" s="12"/>
      <c r="D63" s="24"/>
      <c r="E63" s="88"/>
      <c r="F63" s="58"/>
      <c r="G63" s="208"/>
      <c r="H63" s="26"/>
      <c r="I63" s="105">
        <v>2025</v>
      </c>
      <c r="J63" s="234"/>
      <c r="K63" s="234"/>
      <c r="L63" s="234"/>
      <c r="M63" s="308"/>
      <c r="N63" s="308">
        <v>0</v>
      </c>
      <c r="O63" s="308">
        <v>22807</v>
      </c>
      <c r="P63" s="322">
        <f t="shared" si="4"/>
        <v>-28325.296860952407</v>
      </c>
      <c r="Q63" s="263">
        <f t="shared" si="2"/>
        <v>0</v>
      </c>
      <c r="R63" s="260">
        <f t="shared" si="3"/>
        <v>-5518.2968609524069</v>
      </c>
    </row>
    <row r="64" spans="1:19" x14ac:dyDescent="0.4">
      <c r="A64" s="312"/>
      <c r="B64" s="12"/>
      <c r="C64" s="12"/>
      <c r="D64" s="24"/>
      <c r="E64" s="88"/>
      <c r="F64" s="58"/>
      <c r="G64" s="208"/>
      <c r="H64" s="26"/>
      <c r="I64" s="105">
        <v>2026</v>
      </c>
      <c r="J64" s="234"/>
      <c r="K64" s="234"/>
      <c r="L64" s="234"/>
      <c r="M64" s="308"/>
      <c r="N64" s="308">
        <v>0</v>
      </c>
      <c r="O64" s="308">
        <v>22807</v>
      </c>
      <c r="P64" s="322">
        <f t="shared" si="4"/>
        <v>-28325.296860952407</v>
      </c>
      <c r="Q64" s="263">
        <f t="shared" si="2"/>
        <v>0</v>
      </c>
      <c r="R64" s="260">
        <f t="shared" si="3"/>
        <v>-5518.2968609524069</v>
      </c>
    </row>
    <row r="65" spans="1:18" x14ac:dyDescent="0.4">
      <c r="A65" s="340"/>
      <c r="B65" s="12"/>
      <c r="C65" s="12"/>
      <c r="D65" s="24"/>
      <c r="E65" s="88"/>
      <c r="F65" s="58"/>
      <c r="G65" s="208"/>
      <c r="H65" s="26"/>
      <c r="I65" s="105">
        <v>2027</v>
      </c>
      <c r="J65" s="234"/>
      <c r="K65" s="234"/>
      <c r="L65" s="234"/>
      <c r="M65" s="308"/>
      <c r="N65" s="308">
        <v>0</v>
      </c>
      <c r="O65" s="308">
        <v>13684</v>
      </c>
      <c r="P65" s="322">
        <f t="shared" si="4"/>
        <v>-28325.296860952407</v>
      </c>
      <c r="Q65" s="263">
        <f t="shared" si="2"/>
        <v>0</v>
      </c>
      <c r="R65" s="260">
        <f t="shared" si="3"/>
        <v>-14641.296860952407</v>
      </c>
    </row>
    <row r="66" spans="1:18" x14ac:dyDescent="0.4">
      <c r="A66" s="312"/>
      <c r="B66" s="12"/>
      <c r="C66" s="12"/>
      <c r="D66" s="25"/>
      <c r="E66" s="25"/>
      <c r="F66" s="59"/>
      <c r="G66" s="209"/>
      <c r="H66" s="25"/>
      <c r="I66" s="265">
        <v>2028</v>
      </c>
      <c r="J66" s="347"/>
      <c r="K66" s="347"/>
      <c r="L66" s="347"/>
      <c r="M66" s="354"/>
      <c r="N66" s="354"/>
      <c r="O66" s="354"/>
      <c r="P66" s="324">
        <f t="shared" ref="P66" si="5">IF(F84&lt;0, F84, 0)</f>
        <v>-14162.648430476256</v>
      </c>
      <c r="Q66" s="264">
        <f t="shared" ref="Q66" si="6">IF(F84&gt;0, F84, 0)</f>
        <v>0</v>
      </c>
      <c r="R66" s="261">
        <f>SUM(J66:Q66)</f>
        <v>-14162.648430476256</v>
      </c>
    </row>
    <row r="67" spans="1:18" ht="15" thickBot="1" x14ac:dyDescent="0.45">
      <c r="A67" s="312" t="s">
        <v>10</v>
      </c>
      <c r="B67" s="12"/>
      <c r="C67" s="12"/>
      <c r="D67" s="25"/>
      <c r="E67" s="25"/>
      <c r="F67" s="60">
        <f>SUM(F56:F66)</f>
        <v>297415.61704000027</v>
      </c>
      <c r="G67" s="208"/>
      <c r="H67" s="26"/>
      <c r="I67" s="108" t="s">
        <v>310</v>
      </c>
      <c r="J67" s="101">
        <f t="shared" ref="J67:R67" si="7">SUM(J57:J66)</f>
        <v>-4499</v>
      </c>
      <c r="K67" s="101">
        <f t="shared" si="7"/>
        <v>0</v>
      </c>
      <c r="L67" s="101">
        <f t="shared" si="7"/>
        <v>-96591</v>
      </c>
      <c r="M67" s="101">
        <f t="shared" si="7"/>
        <v>0</v>
      </c>
      <c r="N67" s="101">
        <f t="shared" si="7"/>
        <v>0</v>
      </c>
      <c r="O67" s="101">
        <f t="shared" si="7"/>
        <v>196140</v>
      </c>
      <c r="P67" s="101">
        <f t="shared" si="7"/>
        <v>-269090.32017904788</v>
      </c>
      <c r="Q67" s="101">
        <f t="shared" si="7"/>
        <v>0</v>
      </c>
      <c r="R67" s="101">
        <f t="shared" si="7"/>
        <v>-174040.32017904791</v>
      </c>
    </row>
    <row r="68" spans="1:18" ht="15" thickTop="1" x14ac:dyDescent="0.4">
      <c r="A68" s="312"/>
      <c r="B68" s="12"/>
      <c r="C68" s="12"/>
      <c r="D68" s="12"/>
      <c r="E68" s="12"/>
      <c r="F68" s="313"/>
      <c r="G68" s="50"/>
      <c r="H68" s="12"/>
    </row>
    <row r="69" spans="1:18" ht="65.150000000000006" customHeight="1" thickBot="1" x14ac:dyDescent="0.45">
      <c r="A69" s="381" t="s">
        <v>11</v>
      </c>
      <c r="B69" s="382"/>
      <c r="C69" s="382"/>
      <c r="D69" s="12"/>
      <c r="E69" s="12"/>
      <c r="F69" s="217">
        <f>-F67</f>
        <v>-297415.61704000027</v>
      </c>
      <c r="G69" s="208"/>
      <c r="H69" s="26"/>
      <c r="I69" s="383" t="s">
        <v>58</v>
      </c>
      <c r="J69" s="383"/>
      <c r="K69" s="383"/>
      <c r="L69" s="383"/>
    </row>
    <row r="70" spans="1:18" ht="15" customHeight="1" thickTop="1" x14ac:dyDescent="0.4">
      <c r="A70" s="312"/>
      <c r="B70" s="12"/>
      <c r="C70" s="12"/>
      <c r="D70" s="12"/>
      <c r="E70" s="12"/>
      <c r="F70" s="313"/>
      <c r="G70" s="50"/>
      <c r="H70" s="12"/>
      <c r="K70" s="115" t="s">
        <v>18</v>
      </c>
      <c r="L70" s="115" t="s">
        <v>57</v>
      </c>
    </row>
    <row r="71" spans="1:18" ht="15" thickBot="1" x14ac:dyDescent="0.45">
      <c r="A71" s="61" t="s">
        <v>12</v>
      </c>
      <c r="B71" s="12"/>
      <c r="C71" s="12"/>
      <c r="D71" s="12"/>
      <c r="E71" s="12"/>
      <c r="F71" s="58">
        <f>SUM(F67:F70)</f>
        <v>0</v>
      </c>
      <c r="G71" s="208"/>
      <c r="H71" s="26"/>
      <c r="K71" s="116" t="s">
        <v>56</v>
      </c>
      <c r="L71" s="116" t="s">
        <v>56</v>
      </c>
    </row>
    <row r="72" spans="1:18" ht="15" thickBot="1" x14ac:dyDescent="0.45">
      <c r="A72" s="312"/>
      <c r="B72" s="12"/>
      <c r="C72" s="12"/>
      <c r="D72" s="12"/>
      <c r="E72" s="12"/>
      <c r="F72" s="313"/>
      <c r="G72" s="50"/>
      <c r="H72" s="12"/>
      <c r="I72" s="371" t="s">
        <v>54</v>
      </c>
      <c r="J72" s="372"/>
      <c r="K72" s="75"/>
      <c r="L72" s="75"/>
    </row>
    <row r="73" spans="1:18" ht="28.5" customHeight="1" thickBot="1" x14ac:dyDescent="0.45">
      <c r="A73" s="213" t="s">
        <v>180</v>
      </c>
      <c r="B73" s="48"/>
      <c r="C73" s="48"/>
      <c r="D73" s="215" t="s">
        <v>181</v>
      </c>
      <c r="E73" s="394" t="s">
        <v>317</v>
      </c>
      <c r="F73" s="395"/>
      <c r="G73" s="50"/>
      <c r="H73" s="12"/>
      <c r="I73" s="373"/>
      <c r="J73" s="374"/>
      <c r="K73" s="117">
        <f>E17</f>
        <v>637952.45868167002</v>
      </c>
      <c r="L73" s="118">
        <f>I17</f>
        <v>-276532.87728747999</v>
      </c>
    </row>
    <row r="74" spans="1:18" ht="14.7" customHeight="1" thickBot="1" x14ac:dyDescent="0.45">
      <c r="A74" s="213" t="s">
        <v>175</v>
      </c>
      <c r="B74" s="12"/>
      <c r="C74" s="12"/>
      <c r="D74" s="12"/>
      <c r="E74" s="311">
        <v>2018</v>
      </c>
      <c r="F74" s="72">
        <f t="shared" ref="F74:F83" si="8">F$69/10.5</f>
        <v>-28325.296860952407</v>
      </c>
      <c r="G74" s="50"/>
      <c r="H74" s="12"/>
      <c r="I74" s="110"/>
      <c r="J74" s="111"/>
      <c r="K74" s="80"/>
      <c r="L74" s="80"/>
    </row>
    <row r="75" spans="1:18" x14ac:dyDescent="0.4">
      <c r="A75" s="213" t="s">
        <v>176</v>
      </c>
      <c r="B75" s="12"/>
      <c r="C75" s="12"/>
      <c r="D75" s="12"/>
      <c r="E75" s="312">
        <v>2019</v>
      </c>
      <c r="F75" s="73">
        <f t="shared" si="8"/>
        <v>-28325.296860952407</v>
      </c>
      <c r="G75" s="50"/>
      <c r="H75" s="12"/>
      <c r="I75" s="371" t="s">
        <v>59</v>
      </c>
      <c r="J75" s="372"/>
      <c r="K75" s="75"/>
      <c r="L75" s="75"/>
    </row>
    <row r="76" spans="1:18" x14ac:dyDescent="0.4">
      <c r="A76" s="213"/>
      <c r="B76" s="12"/>
      <c r="C76" s="12"/>
      <c r="D76" s="12"/>
      <c r="E76" s="312">
        <v>2020</v>
      </c>
      <c r="F76" s="73">
        <f t="shared" si="8"/>
        <v>-28325.296860952407</v>
      </c>
      <c r="G76" s="50"/>
      <c r="H76" s="12"/>
      <c r="I76" s="373"/>
      <c r="J76" s="374"/>
      <c r="K76" s="77"/>
      <c r="L76" s="77"/>
    </row>
    <row r="77" spans="1:18" x14ac:dyDescent="0.4">
      <c r="A77" s="213" t="s">
        <v>177</v>
      </c>
      <c r="B77" s="50"/>
      <c r="C77" s="12"/>
      <c r="D77" s="12"/>
      <c r="E77" s="55">
        <v>2021</v>
      </c>
      <c r="F77" s="73">
        <f t="shared" si="8"/>
        <v>-28325.296860952407</v>
      </c>
      <c r="G77" s="50"/>
      <c r="H77" s="12"/>
      <c r="I77" s="373"/>
      <c r="J77" s="374"/>
      <c r="K77" s="117">
        <f>F17</f>
        <v>0</v>
      </c>
      <c r="L77" s="118">
        <f>J17</f>
        <v>-2084269.8816899299</v>
      </c>
      <c r="M77" s="257" t="s">
        <v>237</v>
      </c>
      <c r="N77" s="256">
        <f>SUM(K73:L86)</f>
        <v>-3599334.507519898</v>
      </c>
      <c r="O77" s="257"/>
      <c r="P77" s="256"/>
      <c r="Q77" s="257"/>
      <c r="R77" s="325"/>
    </row>
    <row r="78" spans="1:18" x14ac:dyDescent="0.4">
      <c r="A78" s="213" t="s">
        <v>178</v>
      </c>
      <c r="B78" s="50"/>
      <c r="C78" s="12"/>
      <c r="D78" s="12"/>
      <c r="E78" s="55">
        <v>2022</v>
      </c>
      <c r="F78" s="73">
        <f t="shared" si="8"/>
        <v>-28325.296860952407</v>
      </c>
      <c r="G78" s="50"/>
      <c r="H78" s="12"/>
      <c r="I78" s="136"/>
      <c r="J78" s="137"/>
      <c r="K78" s="117"/>
      <c r="L78" s="118"/>
      <c r="N78" s="15" t="s">
        <v>196</v>
      </c>
      <c r="P78" s="15"/>
      <c r="R78" s="15"/>
    </row>
    <row r="79" spans="1:18" ht="15" thickBot="1" x14ac:dyDescent="0.45">
      <c r="A79" s="214" t="s">
        <v>179</v>
      </c>
      <c r="B79" s="50"/>
      <c r="C79" s="50"/>
      <c r="D79" s="50"/>
      <c r="E79" s="55">
        <v>2023</v>
      </c>
      <c r="F79" s="73">
        <f t="shared" si="8"/>
        <v>-28325.296860952407</v>
      </c>
      <c r="G79" s="50"/>
      <c r="H79" s="12"/>
      <c r="I79" s="112"/>
      <c r="J79" s="66"/>
      <c r="K79" s="80"/>
      <c r="L79" s="80"/>
      <c r="N79" s="15" t="s">
        <v>84</v>
      </c>
      <c r="P79" s="15"/>
      <c r="R79" s="15"/>
    </row>
    <row r="80" spans="1:18" x14ac:dyDescent="0.4">
      <c r="A80" s="62"/>
      <c r="B80" s="51"/>
      <c r="C80" s="52"/>
      <c r="D80" s="52"/>
      <c r="E80" s="301">
        <v>2024</v>
      </c>
      <c r="F80" s="73">
        <f t="shared" si="8"/>
        <v>-28325.296860952407</v>
      </c>
      <c r="G80" s="50"/>
      <c r="H80" s="12"/>
      <c r="I80" s="377" t="s">
        <v>60</v>
      </c>
      <c r="J80" s="378"/>
      <c r="K80" s="119">
        <f>G17</f>
        <v>6741.3487030999995</v>
      </c>
      <c r="L80" s="120">
        <f>K17</f>
        <v>-1709185.23574821</v>
      </c>
      <c r="N80" s="15" t="s">
        <v>85</v>
      </c>
      <c r="P80" s="15"/>
      <c r="R80" s="15"/>
    </row>
    <row r="81" spans="1:18" ht="15" thickBot="1" x14ac:dyDescent="0.45">
      <c r="A81" s="62"/>
      <c r="B81" s="28"/>
      <c r="C81" s="27"/>
      <c r="D81" s="27"/>
      <c r="E81" s="302">
        <v>2025</v>
      </c>
      <c r="F81" s="73">
        <f t="shared" si="8"/>
        <v>-28325.296860952407</v>
      </c>
      <c r="G81" s="50"/>
      <c r="H81" s="12"/>
      <c r="I81" s="112"/>
      <c r="J81" s="66"/>
      <c r="K81" s="80"/>
      <c r="L81" s="80"/>
      <c r="N81" s="15" t="s">
        <v>138</v>
      </c>
      <c r="P81" s="15"/>
      <c r="R81" s="15"/>
    </row>
    <row r="82" spans="1:18" x14ac:dyDescent="0.4">
      <c r="A82" s="62"/>
      <c r="B82" s="27"/>
      <c r="C82" s="27"/>
      <c r="D82" s="27"/>
      <c r="E82" s="301">
        <v>2026</v>
      </c>
      <c r="F82" s="73">
        <f t="shared" si="8"/>
        <v>-28325.296860952407</v>
      </c>
      <c r="G82" s="50"/>
      <c r="H82" s="12"/>
      <c r="I82" s="371" t="s">
        <v>61</v>
      </c>
      <c r="J82" s="372"/>
      <c r="K82" s="75"/>
      <c r="L82" s="75"/>
    </row>
    <row r="83" spans="1:18" x14ac:dyDescent="0.4">
      <c r="A83" s="312"/>
      <c r="B83" s="12"/>
      <c r="C83" s="12"/>
      <c r="D83" s="12"/>
      <c r="E83" s="312">
        <v>2027</v>
      </c>
      <c r="F83" s="73">
        <f t="shared" si="8"/>
        <v>-28325.296860952407</v>
      </c>
      <c r="I83" s="373"/>
      <c r="J83" s="374"/>
      <c r="K83" s="77"/>
      <c r="L83" s="77"/>
    </row>
    <row r="84" spans="1:18" x14ac:dyDescent="0.4">
      <c r="A84" s="312"/>
      <c r="B84" s="12"/>
      <c r="C84" s="12"/>
      <c r="D84" s="12"/>
      <c r="E84" s="312">
        <v>2028</v>
      </c>
      <c r="F84" s="138">
        <f>F85-SUM(F74:F83)</f>
        <v>-14162.648430476256</v>
      </c>
      <c r="I84" s="373"/>
      <c r="J84" s="374"/>
      <c r="K84" s="77"/>
      <c r="L84" s="77"/>
    </row>
    <row r="85" spans="1:18" ht="15" thickBot="1" x14ac:dyDescent="0.45">
      <c r="A85" s="312"/>
      <c r="B85" s="12"/>
      <c r="C85" s="12"/>
      <c r="D85" s="12"/>
      <c r="E85" s="112"/>
      <c r="F85" s="316">
        <f>F69</f>
        <v>-297415.61704000027</v>
      </c>
      <c r="I85" s="373"/>
      <c r="J85" s="374"/>
      <c r="K85" s="118">
        <f>K67+M67+O67+Q67</f>
        <v>196140</v>
      </c>
      <c r="L85" s="117">
        <f>J67+L67+N67+P67</f>
        <v>-370180.32017904788</v>
      </c>
    </row>
    <row r="86" spans="1:18" ht="15" thickBot="1" x14ac:dyDescent="0.45">
      <c r="A86" s="112"/>
      <c r="B86" s="65"/>
      <c r="C86" s="65"/>
      <c r="D86" s="65"/>
      <c r="E86" s="65"/>
      <c r="F86" s="66"/>
      <c r="I86" s="112"/>
      <c r="J86" s="66"/>
      <c r="K86" s="80"/>
      <c r="L86" s="80"/>
    </row>
    <row r="87" spans="1:18" x14ac:dyDescent="0.4">
      <c r="I87" s="371" t="s">
        <v>62</v>
      </c>
      <c r="J87" s="372"/>
      <c r="K87" s="75"/>
      <c r="L87" s="75"/>
    </row>
    <row r="88" spans="1:18" x14ac:dyDescent="0.4">
      <c r="I88" s="373"/>
      <c r="J88" s="374"/>
      <c r="K88" s="117">
        <f>D20</f>
        <v>531427</v>
      </c>
      <c r="L88" s="77"/>
    </row>
    <row r="89" spans="1:18" ht="15" thickBot="1" x14ac:dyDescent="0.45">
      <c r="I89" s="112"/>
      <c r="J89" s="66"/>
      <c r="K89" s="80"/>
      <c r="L89" s="80"/>
    </row>
    <row r="90" spans="1:18" ht="15" thickBot="1" x14ac:dyDescent="0.45">
      <c r="I90" s="113" t="s">
        <v>63</v>
      </c>
      <c r="J90" s="114"/>
      <c r="K90" s="121">
        <f>SUM(K73:K89)</f>
        <v>1372260.8073847699</v>
      </c>
      <c r="L90" s="121">
        <f>SUM(L73:L89)</f>
        <v>-4440168.3149046674</v>
      </c>
    </row>
    <row r="91" spans="1:18" ht="15" thickBot="1" x14ac:dyDescent="0.45"/>
    <row r="92" spans="1:18" x14ac:dyDescent="0.4">
      <c r="I92" s="160" t="s">
        <v>139</v>
      </c>
      <c r="J92" s="12"/>
      <c r="K92" s="115" t="s">
        <v>68</v>
      </c>
      <c r="L92" s="115" t="s">
        <v>37</v>
      </c>
    </row>
    <row r="93" spans="1:18" ht="15" thickBot="1" x14ac:dyDescent="0.45">
      <c r="I93" s="12"/>
      <c r="J93" s="12"/>
      <c r="K93" s="124" t="s">
        <v>69</v>
      </c>
      <c r="L93" s="157"/>
    </row>
    <row r="94" spans="1:18" ht="15" thickBot="1" x14ac:dyDescent="0.45">
      <c r="I94" s="12"/>
      <c r="J94" s="12"/>
      <c r="K94" s="158">
        <v>2019</v>
      </c>
      <c r="L94" s="125">
        <f>'6 - Amort - Notes'!AH65</f>
        <v>-288964.09506200237</v>
      </c>
    </row>
    <row r="95" spans="1:18" ht="15" thickBot="1" x14ac:dyDescent="0.45">
      <c r="I95" s="150"/>
      <c r="J95" s="150"/>
      <c r="K95" s="158">
        <v>2020</v>
      </c>
      <c r="L95" s="125">
        <f>'6 - Amort - Notes'!AH66</f>
        <v>-604534.92057590245</v>
      </c>
    </row>
    <row r="96" spans="1:18" ht="15" thickBot="1" x14ac:dyDescent="0.45">
      <c r="I96" s="150"/>
      <c r="J96" s="150"/>
      <c r="K96" s="158">
        <v>2021</v>
      </c>
      <c r="L96" s="125">
        <f>'6 - Amort - Notes'!AH67</f>
        <v>-1271233.1325958825</v>
      </c>
    </row>
    <row r="97" spans="1:12" ht="15" thickBot="1" x14ac:dyDescent="0.45">
      <c r="I97" s="150"/>
      <c r="J97" s="150"/>
      <c r="K97" s="159">
        <v>2022</v>
      </c>
      <c r="L97" s="125">
        <f>'6 - Amort - Notes'!AH68</f>
        <v>-472031.72861158237</v>
      </c>
    </row>
    <row r="98" spans="1:12" ht="15" thickBot="1" x14ac:dyDescent="0.45">
      <c r="I98" s="150"/>
      <c r="J98" s="150"/>
      <c r="K98" s="159">
        <v>2023</v>
      </c>
      <c r="L98" s="125">
        <f>'6 - Amort - Notes'!AH69</f>
        <v>-176542.51172344235</v>
      </c>
    </row>
    <row r="99" spans="1:12" ht="15" thickBot="1" x14ac:dyDescent="0.45">
      <c r="I99" s="12"/>
      <c r="J99" s="12"/>
      <c r="K99" s="123" t="s">
        <v>137</v>
      </c>
      <c r="L99" s="125">
        <f>'6 - Amort - Notes'!AH70</f>
        <v>-786028.11895108572</v>
      </c>
    </row>
    <row r="100" spans="1:12" ht="15" thickBot="1" x14ac:dyDescent="0.45">
      <c r="A100" s="1" t="s">
        <v>250</v>
      </c>
      <c r="E100" s="6"/>
      <c r="I100" s="150"/>
      <c r="J100" s="150"/>
      <c r="K100" s="161" t="s">
        <v>63</v>
      </c>
      <c r="L100" s="126">
        <f>SUM(L94:L99)</f>
        <v>-3599334.507519898</v>
      </c>
    </row>
    <row r="101" spans="1:12" x14ac:dyDescent="0.4">
      <c r="A101" s="1"/>
    </row>
    <row r="102" spans="1:12" x14ac:dyDescent="0.4">
      <c r="B102" s="89"/>
      <c r="C102" s="89"/>
      <c r="D102" s="89"/>
      <c r="E102" s="90" t="s">
        <v>86</v>
      </c>
      <c r="F102" s="89"/>
      <c r="G102" s="90" t="s">
        <v>88</v>
      </c>
      <c r="H102" s="90" t="s">
        <v>37</v>
      </c>
      <c r="I102" s="89"/>
      <c r="J102" s="90">
        <v>2018</v>
      </c>
    </row>
    <row r="103" spans="1:12" x14ac:dyDescent="0.4">
      <c r="B103" s="92" t="s">
        <v>112</v>
      </c>
      <c r="C103" s="92"/>
      <c r="D103" s="92" t="s">
        <v>21</v>
      </c>
      <c r="E103" s="92" t="s">
        <v>87</v>
      </c>
      <c r="F103" s="92" t="s">
        <v>22</v>
      </c>
      <c r="G103" s="92" t="s">
        <v>89</v>
      </c>
      <c r="H103" s="92" t="s">
        <v>134</v>
      </c>
      <c r="I103" s="92" t="s">
        <v>23</v>
      </c>
      <c r="J103" s="92" t="s">
        <v>27</v>
      </c>
    </row>
    <row r="104" spans="1:12" x14ac:dyDescent="0.4">
      <c r="A104" s="84">
        <v>42736</v>
      </c>
      <c r="B104" s="16">
        <f>D16</f>
        <v>7760092.3433999997</v>
      </c>
      <c r="C104" s="16"/>
      <c r="D104" s="16">
        <f>H16</f>
        <v>350415.30329999997</v>
      </c>
      <c r="E104" s="16">
        <f>D19</f>
        <v>510529</v>
      </c>
      <c r="F104" s="16">
        <f>L16</f>
        <v>-2036470.8968999998</v>
      </c>
      <c r="G104" s="88">
        <f>SUM(J56:O65)</f>
        <v>83615</v>
      </c>
      <c r="H104" s="16"/>
      <c r="I104" s="16"/>
      <c r="J104" s="16"/>
    </row>
    <row r="105" spans="1:12" ht="15" thickBot="1" x14ac:dyDescent="0.45">
      <c r="A105" s="84">
        <v>43100</v>
      </c>
      <c r="B105" s="82">
        <f>D17</f>
        <v>11909197.88146</v>
      </c>
      <c r="C105" s="82"/>
      <c r="D105" s="82">
        <f>H17</f>
        <v>644693.80738477001</v>
      </c>
      <c r="E105" s="82">
        <f>D20</f>
        <v>531427</v>
      </c>
      <c r="F105" s="82">
        <f>L17</f>
        <v>-4069987.9947256199</v>
      </c>
      <c r="G105" s="266">
        <f>R67</f>
        <v>-174040.32017904791</v>
      </c>
      <c r="H105" s="82"/>
      <c r="I105" s="82"/>
      <c r="J105" s="20"/>
      <c r="K105" s="236" t="s">
        <v>209</v>
      </c>
    </row>
    <row r="106" spans="1:12" ht="15" thickBot="1" x14ac:dyDescent="0.45">
      <c r="A106" s="81" t="s">
        <v>28</v>
      </c>
      <c r="B106" s="11">
        <f>B104-B105</f>
        <v>-4149105.5380600002</v>
      </c>
      <c r="C106" s="16"/>
      <c r="D106" s="11">
        <f>D104-D105</f>
        <v>-294278.50408477004</v>
      </c>
      <c r="E106" s="11">
        <f>E104-E105</f>
        <v>-20898</v>
      </c>
      <c r="F106" s="11">
        <f>F104-F105</f>
        <v>2033517.0978256201</v>
      </c>
      <c r="G106" s="11">
        <f>G104-G105</f>
        <v>257655.32017904791</v>
      </c>
      <c r="H106" s="11">
        <f>D45</f>
        <v>658626.88034396002</v>
      </c>
      <c r="I106" s="20">
        <f>SUM(B106:H106)</f>
        <v>-1514482.7437961414</v>
      </c>
      <c r="J106" s="226">
        <v>1050000</v>
      </c>
      <c r="K106" s="236" t="s">
        <v>296</v>
      </c>
    </row>
    <row r="107" spans="1:12" x14ac:dyDescent="0.4">
      <c r="K107" s="237" t="s">
        <v>210</v>
      </c>
    </row>
    <row r="108" spans="1:12" x14ac:dyDescent="0.4">
      <c r="A108" s="1"/>
      <c r="B108" s="16">
        <f>B106</f>
        <v>-4149105.5380600002</v>
      </c>
      <c r="C108" s="16"/>
      <c r="D108" s="16" t="s">
        <v>244</v>
      </c>
      <c r="G108" s="16"/>
    </row>
    <row r="109" spans="1:12" x14ac:dyDescent="0.4">
      <c r="A109" s="1"/>
      <c r="B109" s="16">
        <f>D106</f>
        <v>-294278.50408477004</v>
      </c>
      <c r="D109" t="s">
        <v>240</v>
      </c>
      <c r="G109" s="20"/>
    </row>
    <row r="110" spans="1:12" x14ac:dyDescent="0.4">
      <c r="A110" s="1"/>
      <c r="B110" s="16">
        <f>E106</f>
        <v>-20898</v>
      </c>
      <c r="D110" t="s">
        <v>241</v>
      </c>
      <c r="G110" s="17">
        <f>M17</f>
        <v>-1088398.57625246</v>
      </c>
      <c r="H110" s="15" t="s">
        <v>207</v>
      </c>
    </row>
    <row r="111" spans="1:12" x14ac:dyDescent="0.4">
      <c r="B111" s="16">
        <f>F106</f>
        <v>2033517.0978256201</v>
      </c>
      <c r="D111" t="s">
        <v>242</v>
      </c>
      <c r="G111" s="16">
        <f>R56</f>
        <v>-39760.29686095241</v>
      </c>
      <c r="H111" s="93" t="s">
        <v>30</v>
      </c>
    </row>
    <row r="112" spans="1:12" x14ac:dyDescent="0.4">
      <c r="B112" s="16">
        <f>G106</f>
        <v>257655.32017904791</v>
      </c>
      <c r="D112" t="s">
        <v>245</v>
      </c>
      <c r="G112" s="20">
        <f>D45</f>
        <v>658626.88034396002</v>
      </c>
      <c r="H112" s="93" t="s">
        <v>136</v>
      </c>
    </row>
    <row r="113" spans="2:8" x14ac:dyDescent="0.4">
      <c r="B113" s="16">
        <f>H106</f>
        <v>658626.88034396002</v>
      </c>
      <c r="D113" t="s">
        <v>135</v>
      </c>
      <c r="G113" s="20">
        <f>-1166613*B17</f>
        <v>-6843.3168596099995</v>
      </c>
      <c r="H113" s="15" t="s">
        <v>295</v>
      </c>
    </row>
    <row r="114" spans="2:8" x14ac:dyDescent="0.4">
      <c r="B114" s="82">
        <f>J106</f>
        <v>1050000</v>
      </c>
      <c r="D114" t="s">
        <v>29</v>
      </c>
      <c r="G114" s="82"/>
      <c r="H114" s="93" t="s">
        <v>257</v>
      </c>
    </row>
    <row r="115" spans="2:8" ht="15" thickBot="1" x14ac:dyDescent="0.45">
      <c r="B115" s="85">
        <f>SUM(B108:B114)</f>
        <v>-464482.74379614135</v>
      </c>
      <c r="D115" s="15" t="s">
        <v>91</v>
      </c>
      <c r="G115" s="87">
        <f>SUM(G110:G114)</f>
        <v>-476375.30962906237</v>
      </c>
      <c r="H115" s="15" t="s">
        <v>25</v>
      </c>
    </row>
    <row r="116" spans="2:8" ht="15" thickTop="1" x14ac:dyDescent="0.4"/>
    <row r="117" spans="2:8" x14ac:dyDescent="0.4">
      <c r="E117" s="342" t="s">
        <v>297</v>
      </c>
      <c r="F117" s="343">
        <f>B115/G115</f>
        <v>0.97503530180398867</v>
      </c>
    </row>
    <row r="118" spans="2:8" x14ac:dyDescent="0.4">
      <c r="H118" s="15"/>
    </row>
    <row r="119" spans="2:8" x14ac:dyDescent="0.4">
      <c r="H119" s="93"/>
    </row>
  </sheetData>
  <mergeCells count="19">
    <mergeCell ref="A49:F49"/>
    <mergeCell ref="A69:C69"/>
    <mergeCell ref="I69:L69"/>
    <mergeCell ref="I72:J73"/>
    <mergeCell ref="E73:F73"/>
    <mergeCell ref="I49:R49"/>
    <mergeCell ref="I87:J88"/>
    <mergeCell ref="F51:F52"/>
    <mergeCell ref="G51:G52"/>
    <mergeCell ref="H51:H52"/>
    <mergeCell ref="I80:J80"/>
    <mergeCell ref="I82:J85"/>
    <mergeCell ref="I75:J77"/>
    <mergeCell ref="A36:B36"/>
    <mergeCell ref="D2:M2"/>
    <mergeCell ref="E8:M8"/>
    <mergeCell ref="E9:M9"/>
    <mergeCell ref="E10:H10"/>
    <mergeCell ref="I10:L10"/>
  </mergeCells>
  <dataValidations count="3">
    <dataValidation allowBlank="1" showInputMessage="1" showErrorMessage="1" promptTitle="Deferred Inflows" prompt="Enter amounts in this column as credits (-)." sqref="J53:J66 L53:L66"/>
    <dataValidation allowBlank="1" showInputMessage="1" showErrorMessage="1" promptTitle="Deferred Outlows" prompt="Enter amounts in this column as debits (+)." sqref="K53:K66 M53:O66"/>
    <dataValidation allowBlank="1" showInputMessage="1" showErrorMessage="1" prompt="If you have more than one DRS ORG ID number, combine the percentages." sqref="B16:B17"/>
  </dataValidations>
  <pageMargins left="0.7" right="0.7" top="0.75" bottom="0.75" header="0.3" footer="0.3"/>
  <pageSetup scale="47" orientation="landscape" cellComments="asDisplayed" r:id="rId1"/>
  <ignoredErrors>
    <ignoredError sqref="H12:H13 R53:R55 J67:O67"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1"/>
  <sheetViews>
    <sheetView workbookViewId="0"/>
  </sheetViews>
  <sheetFormatPr defaultRowHeight="14.6" x14ac:dyDescent="0.4"/>
  <cols>
    <col min="2" max="2" width="30.69140625" customWidth="1"/>
    <col min="3" max="3" width="18.69140625" customWidth="1"/>
    <col min="5" max="5" width="9.53515625" bestFit="1" customWidth="1"/>
    <col min="7" max="7" width="10.84375" bestFit="1" customWidth="1"/>
    <col min="10" max="10" width="30.69140625" customWidth="1"/>
    <col min="11" max="11" width="18.69140625" customWidth="1"/>
  </cols>
  <sheetData>
    <row r="2" spans="2:10" x14ac:dyDescent="0.4">
      <c r="B2" s="162" t="s">
        <v>140</v>
      </c>
    </row>
    <row r="3" spans="2:10" x14ac:dyDescent="0.4">
      <c r="B3" s="162" t="s">
        <v>141</v>
      </c>
    </row>
    <row r="5" spans="2:10" ht="15" thickBot="1" x14ac:dyDescent="0.45"/>
    <row r="6" spans="2:10" x14ac:dyDescent="0.4">
      <c r="B6" s="229" t="s">
        <v>123</v>
      </c>
      <c r="J6" s="229" t="s">
        <v>149</v>
      </c>
    </row>
    <row r="7" spans="2:10" ht="15" thickBot="1" x14ac:dyDescent="0.45">
      <c r="B7" s="230" t="s">
        <v>321</v>
      </c>
      <c r="J7" s="230" t="s">
        <v>325</v>
      </c>
    </row>
    <row r="21" spans="2:14" ht="15" thickBot="1" x14ac:dyDescent="0.45"/>
    <row r="22" spans="2:14" x14ac:dyDescent="0.4">
      <c r="B22" s="328" t="s">
        <v>127</v>
      </c>
      <c r="C22" s="329"/>
      <c r="D22" s="329"/>
      <c r="E22" s="329"/>
      <c r="F22" s="314"/>
      <c r="J22" s="328" t="s">
        <v>127</v>
      </c>
      <c r="K22" s="329"/>
      <c r="L22" s="329"/>
      <c r="M22" s="329"/>
      <c r="N22" s="314"/>
    </row>
    <row r="23" spans="2:14" x14ac:dyDescent="0.4">
      <c r="B23" s="330" t="s">
        <v>322</v>
      </c>
      <c r="C23" s="12"/>
      <c r="D23" s="12"/>
      <c r="E23" s="12"/>
      <c r="F23" s="315"/>
      <c r="J23" s="330" t="s">
        <v>184</v>
      </c>
      <c r="K23" s="12"/>
      <c r="L23" s="12"/>
      <c r="M23" s="12"/>
      <c r="N23" s="315"/>
    </row>
    <row r="24" spans="2:14" ht="15" thickBot="1" x14ac:dyDescent="0.45">
      <c r="B24" s="112" t="s">
        <v>323</v>
      </c>
      <c r="C24" s="65"/>
      <c r="D24" s="65"/>
      <c r="E24" s="65"/>
      <c r="F24" s="66"/>
      <c r="J24" s="112" t="s">
        <v>183</v>
      </c>
      <c r="K24" s="65"/>
      <c r="L24" s="65"/>
      <c r="M24" s="65"/>
      <c r="N24" s="66"/>
    </row>
    <row r="25" spans="2:14" x14ac:dyDescent="0.4">
      <c r="G25" s="359"/>
    </row>
    <row r="26" spans="2:14" ht="15" thickBot="1" x14ac:dyDescent="0.45">
      <c r="B26" s="1" t="s">
        <v>124</v>
      </c>
      <c r="J26" s="1" t="s">
        <v>124</v>
      </c>
    </row>
    <row r="27" spans="2:14" ht="15" thickBot="1" x14ac:dyDescent="0.45">
      <c r="C27" s="145" t="s">
        <v>150</v>
      </c>
      <c r="K27" s="145" t="s">
        <v>151</v>
      </c>
    </row>
    <row r="28" spans="2:14" ht="29.6" thickBot="1" x14ac:dyDescent="0.45">
      <c r="B28" s="146" t="s">
        <v>122</v>
      </c>
      <c r="C28" s="147">
        <f>-'1,2,3 - LEOFF_2'!D17</f>
        <v>-11909197.88146</v>
      </c>
      <c r="D28" s="15" t="s">
        <v>125</v>
      </c>
      <c r="J28" s="146" t="s">
        <v>154</v>
      </c>
      <c r="K28" s="147">
        <f>-'1,2,3 - LEOFF_1'!D17</f>
        <v>-2564723.3653599997</v>
      </c>
      <c r="L28" s="15" t="s">
        <v>152</v>
      </c>
    </row>
    <row r="29" spans="2:14" ht="44.15" thickBot="1" x14ac:dyDescent="0.45">
      <c r="B29" s="146" t="s">
        <v>153</v>
      </c>
      <c r="C29" s="148">
        <f>C28*64.748114%</f>
        <v>-7710981.0207733056</v>
      </c>
      <c r="D29" s="15" t="s">
        <v>126</v>
      </c>
      <c r="J29" s="146" t="s">
        <v>155</v>
      </c>
      <c r="K29" s="148">
        <f>K28*676.397516%</f>
        <v>-17347725.135566644</v>
      </c>
      <c r="L29" s="15" t="s">
        <v>126</v>
      </c>
    </row>
    <row r="30" spans="2:14" ht="15" thickBot="1" x14ac:dyDescent="0.45">
      <c r="B30" s="123" t="s">
        <v>63</v>
      </c>
      <c r="C30" s="147">
        <f>SUM(C28:C29)</f>
        <v>-19620178.902233306</v>
      </c>
      <c r="J30" s="123" t="s">
        <v>63</v>
      </c>
      <c r="K30" s="147">
        <f>SUM(K28:K29)</f>
        <v>-19912448.500926644</v>
      </c>
    </row>
    <row r="33" spans="2:10" x14ac:dyDescent="0.4">
      <c r="B33" s="1" t="s">
        <v>129</v>
      </c>
      <c r="J33" s="1" t="s">
        <v>246</v>
      </c>
    </row>
    <row r="34" spans="2:10" x14ac:dyDescent="0.4">
      <c r="B34" s="1"/>
    </row>
    <row r="35" spans="2:10" x14ac:dyDescent="0.4">
      <c r="B35" s="45" t="s">
        <v>130</v>
      </c>
    </row>
    <row r="36" spans="2:10" x14ac:dyDescent="0.4">
      <c r="B36" s="45" t="s">
        <v>270</v>
      </c>
      <c r="C36" s="279">
        <v>1017214</v>
      </c>
    </row>
    <row r="37" spans="2:10" x14ac:dyDescent="0.4">
      <c r="B37" s="45" t="s">
        <v>269</v>
      </c>
      <c r="C37" s="149" t="s">
        <v>324</v>
      </c>
    </row>
    <row r="38" spans="2:10" x14ac:dyDescent="0.4">
      <c r="B38" s="1"/>
      <c r="C38" s="16">
        <f>C36*64.748114%</f>
        <v>658626.88034396002</v>
      </c>
    </row>
    <row r="39" spans="2:10" x14ac:dyDescent="0.4">
      <c r="B39" s="1"/>
    </row>
    <row r="40" spans="2:10" x14ac:dyDescent="0.4">
      <c r="B40" t="s">
        <v>131</v>
      </c>
      <c r="D40" s="16">
        <f>C38</f>
        <v>658626.88034396002</v>
      </c>
    </row>
    <row r="41" spans="2:10" x14ac:dyDescent="0.4">
      <c r="B41" t="s">
        <v>132</v>
      </c>
      <c r="E41" s="16">
        <f>-C38</f>
        <v>-658626.88034396002</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2"/>
  <sheetViews>
    <sheetView topLeftCell="R1" workbookViewId="0">
      <selection activeCell="S1" sqref="S1"/>
    </sheetView>
  </sheetViews>
  <sheetFormatPr defaultRowHeight="14.6" x14ac:dyDescent="0.4"/>
  <cols>
    <col min="1" max="1" width="13.69140625" customWidth="1"/>
    <col min="2" max="4" width="10.69140625" customWidth="1"/>
    <col min="5" max="5" width="11.69140625" customWidth="1"/>
    <col min="6" max="17" width="10.69140625" customWidth="1"/>
    <col min="19" max="19" width="13.69140625" customWidth="1"/>
    <col min="20" max="35" width="10.69140625" customWidth="1"/>
  </cols>
  <sheetData>
    <row r="1" spans="1:35" x14ac:dyDescent="0.4">
      <c r="R1" s="178" t="s">
        <v>169</v>
      </c>
    </row>
    <row r="2" spans="1:35" x14ac:dyDescent="0.4">
      <c r="A2" s="1" t="s">
        <v>167</v>
      </c>
      <c r="R2" s="178" t="s">
        <v>169</v>
      </c>
      <c r="S2" t="s">
        <v>171</v>
      </c>
    </row>
    <row r="3" spans="1:35" x14ac:dyDescent="0.4">
      <c r="R3" s="178" t="s">
        <v>169</v>
      </c>
    </row>
    <row r="4" spans="1:35" x14ac:dyDescent="0.4">
      <c r="R4" s="178" t="s">
        <v>169</v>
      </c>
    </row>
    <row r="5" spans="1:35" x14ac:dyDescent="0.4">
      <c r="R5" s="178" t="s">
        <v>169</v>
      </c>
    </row>
    <row r="6" spans="1:35" x14ac:dyDescent="0.4">
      <c r="R6" s="178" t="s">
        <v>169</v>
      </c>
    </row>
    <row r="7" spans="1:35" ht="18.899999999999999" thickBot="1" x14ac:dyDescent="0.55000000000000004">
      <c r="A7" s="410" t="s">
        <v>286</v>
      </c>
      <c r="B7" s="410"/>
      <c r="C7" s="410"/>
      <c r="D7" s="410"/>
      <c r="E7" s="410"/>
      <c r="F7" s="410"/>
      <c r="G7" s="410"/>
      <c r="H7" s="410"/>
      <c r="I7" s="410"/>
      <c r="J7" s="410"/>
      <c r="K7" s="410"/>
      <c r="L7" s="410"/>
      <c r="M7" s="410"/>
      <c r="N7" s="410"/>
      <c r="O7" s="410"/>
      <c r="P7" s="410"/>
      <c r="Q7" s="201"/>
      <c r="R7" s="178" t="s">
        <v>169</v>
      </c>
      <c r="S7" s="410" t="s">
        <v>170</v>
      </c>
      <c r="T7" s="410"/>
      <c r="U7" s="410"/>
      <c r="V7" s="410"/>
      <c r="W7" s="410"/>
      <c r="X7" s="410"/>
      <c r="Y7" s="410"/>
      <c r="Z7" s="410"/>
      <c r="AA7" s="410"/>
      <c r="AB7" s="410"/>
      <c r="AC7" s="410"/>
      <c r="AD7" s="410"/>
      <c r="AE7" s="410"/>
      <c r="AF7" s="410"/>
      <c r="AG7" s="410"/>
      <c r="AH7" s="410"/>
    </row>
    <row r="8" spans="1:35" ht="15.45" thickTop="1" thickBot="1" x14ac:dyDescent="0.45">
      <c r="A8" s="179"/>
      <c r="B8" s="179"/>
      <c r="C8" s="179"/>
      <c r="D8" s="179"/>
      <c r="E8" s="179"/>
      <c r="F8" s="179"/>
      <c r="G8" s="179"/>
      <c r="H8" s="179"/>
      <c r="I8" s="179"/>
      <c r="J8" s="179"/>
      <c r="K8" s="179"/>
      <c r="L8" s="179"/>
      <c r="M8" s="179"/>
      <c r="N8" s="179"/>
      <c r="O8" s="179"/>
      <c r="P8" s="179"/>
      <c r="Q8" s="179"/>
      <c r="R8" s="178" t="s">
        <v>169</v>
      </c>
    </row>
    <row r="9" spans="1:35" x14ac:dyDescent="0.4">
      <c r="A9" s="403" t="s">
        <v>156</v>
      </c>
      <c r="B9" s="404"/>
      <c r="C9" s="404"/>
      <c r="D9" s="404"/>
      <c r="E9" s="404"/>
      <c r="F9" s="404"/>
      <c r="G9" s="404"/>
      <c r="H9" s="404"/>
      <c r="I9" s="404"/>
      <c r="J9" s="404"/>
      <c r="K9" s="404"/>
      <c r="L9" s="404"/>
      <c r="M9" s="404"/>
      <c r="N9" s="404"/>
      <c r="O9" s="404"/>
      <c r="P9" s="404"/>
      <c r="Q9" s="186"/>
      <c r="R9" s="178" t="s">
        <v>169</v>
      </c>
      <c r="S9" s="403" t="s">
        <v>288</v>
      </c>
      <c r="T9" s="404"/>
      <c r="U9" s="404"/>
      <c r="V9" s="404"/>
      <c r="W9" s="404"/>
      <c r="X9" s="404"/>
      <c r="Y9" s="404"/>
      <c r="Z9" s="404"/>
      <c r="AA9" s="404"/>
      <c r="AB9" s="404"/>
      <c r="AC9" s="404"/>
      <c r="AD9" s="404"/>
      <c r="AE9" s="404"/>
      <c r="AF9" s="404"/>
      <c r="AG9" s="404"/>
      <c r="AH9" s="404"/>
      <c r="AI9" s="186"/>
    </row>
    <row r="10" spans="1:35" ht="15" thickBot="1" x14ac:dyDescent="0.45">
      <c r="A10" s="405" t="s">
        <v>287</v>
      </c>
      <c r="B10" s="406"/>
      <c r="C10" s="406"/>
      <c r="D10" s="406"/>
      <c r="E10" s="406"/>
      <c r="F10" s="406"/>
      <c r="G10" s="406"/>
      <c r="H10" s="406"/>
      <c r="I10" s="406"/>
      <c r="J10" s="406"/>
      <c r="K10" s="406"/>
      <c r="L10" s="406"/>
      <c r="M10" s="406"/>
      <c r="N10" s="406"/>
      <c r="O10" s="406"/>
      <c r="P10" s="406"/>
      <c r="Q10" s="187"/>
      <c r="R10" s="178" t="s">
        <v>169</v>
      </c>
      <c r="S10" s="405" t="s">
        <v>287</v>
      </c>
      <c r="T10" s="406"/>
      <c r="U10" s="406"/>
      <c r="V10" s="406"/>
      <c r="W10" s="406"/>
      <c r="X10" s="406"/>
      <c r="Y10" s="406"/>
      <c r="Z10" s="406"/>
      <c r="AA10" s="406"/>
      <c r="AB10" s="406"/>
      <c r="AC10" s="406"/>
      <c r="AD10" s="406"/>
      <c r="AE10" s="406"/>
      <c r="AF10" s="406"/>
      <c r="AG10" s="406"/>
      <c r="AH10" s="406"/>
      <c r="AI10" s="187"/>
    </row>
    <row r="11" spans="1:35" ht="15" thickBot="1" x14ac:dyDescent="0.45">
      <c r="A11" s="199"/>
      <c r="B11" s="199"/>
      <c r="C11" s="199"/>
      <c r="D11" s="199"/>
      <c r="E11" s="199"/>
      <c r="F11" s="199"/>
      <c r="G11" s="199"/>
      <c r="H11" s="199"/>
      <c r="I11" s="199"/>
      <c r="J11" s="199"/>
      <c r="K11" s="199"/>
      <c r="L11" s="199"/>
      <c r="M11" s="199"/>
      <c r="N11" s="199"/>
      <c r="O11" s="199"/>
      <c r="P11" s="199"/>
      <c r="Q11" s="199"/>
      <c r="R11" s="178" t="s">
        <v>169</v>
      </c>
      <c r="S11" s="199"/>
      <c r="T11" s="199"/>
      <c r="U11" s="122">
        <f>'1,2,3 - PERS_1'!B17</f>
        <v>2.3742199999999998E-3</v>
      </c>
      <c r="V11" s="199"/>
      <c r="W11" s="122">
        <f>'1,2,3 - PERS_2-3'!B17</f>
        <v>2.8364000000000002E-3</v>
      </c>
      <c r="X11" s="199"/>
      <c r="Y11" s="199"/>
      <c r="Z11" s="199"/>
      <c r="AA11" s="122">
        <f>'1,2,3 - PSERS'!B17</f>
        <v>3.1264299999999999E-3</v>
      </c>
      <c r="AB11" s="199"/>
      <c r="AC11" s="199"/>
      <c r="AD11" s="199"/>
      <c r="AE11" s="199"/>
      <c r="AF11" s="199"/>
      <c r="AG11" s="122">
        <f>'1,2,3 - LEOFF_1'!B17</f>
        <v>1.4126799999999999E-3</v>
      </c>
      <c r="AH11" s="199"/>
      <c r="AI11" s="122">
        <f>'1,2,3 - LEOFF_2'!B17</f>
        <v>5.8659699999999999E-3</v>
      </c>
    </row>
    <row r="12" spans="1:35" x14ac:dyDescent="0.4">
      <c r="A12" s="183" t="s">
        <v>157</v>
      </c>
      <c r="B12" s="204"/>
      <c r="C12" s="203" t="s">
        <v>158</v>
      </c>
      <c r="D12" s="204"/>
      <c r="E12" s="204" t="s">
        <v>159</v>
      </c>
      <c r="F12" s="204"/>
      <c r="G12" s="203" t="s">
        <v>160</v>
      </c>
      <c r="H12" s="204"/>
      <c r="I12" s="204" t="s">
        <v>161</v>
      </c>
      <c r="J12" s="204"/>
      <c r="K12" s="203" t="s">
        <v>162</v>
      </c>
      <c r="L12" s="204"/>
      <c r="M12" s="204" t="s">
        <v>163</v>
      </c>
      <c r="N12" s="184"/>
      <c r="O12" s="180" t="s">
        <v>164</v>
      </c>
      <c r="P12" s="204"/>
      <c r="Q12" s="204" t="s">
        <v>165</v>
      </c>
      <c r="R12" s="178" t="s">
        <v>169</v>
      </c>
      <c r="S12" s="183" t="s">
        <v>157</v>
      </c>
      <c r="T12" s="204"/>
      <c r="U12" s="203" t="s">
        <v>158</v>
      </c>
      <c r="V12" s="204"/>
      <c r="W12" s="204" t="s">
        <v>159</v>
      </c>
      <c r="X12" s="204"/>
      <c r="Y12" s="203" t="s">
        <v>160</v>
      </c>
      <c r="Z12" s="204"/>
      <c r="AA12" s="204" t="s">
        <v>161</v>
      </c>
      <c r="AB12" s="204"/>
      <c r="AC12" s="203" t="s">
        <v>162</v>
      </c>
      <c r="AD12" s="204"/>
      <c r="AE12" s="204" t="s">
        <v>163</v>
      </c>
      <c r="AF12" s="184"/>
      <c r="AG12" s="180" t="s">
        <v>164</v>
      </c>
      <c r="AH12" s="204"/>
      <c r="AI12" s="204" t="s">
        <v>165</v>
      </c>
    </row>
    <row r="13" spans="1:35" x14ac:dyDescent="0.4">
      <c r="A13" s="181">
        <v>2019</v>
      </c>
      <c r="B13" s="189"/>
      <c r="C13" s="188">
        <v>7764643</v>
      </c>
      <c r="D13" s="189"/>
      <c r="E13" s="189">
        <v>-90728676</v>
      </c>
      <c r="F13" s="189"/>
      <c r="G13" s="188">
        <v>-20632704</v>
      </c>
      <c r="H13" s="189"/>
      <c r="I13" s="189">
        <v>-2471351</v>
      </c>
      <c r="J13" s="189"/>
      <c r="K13" s="188">
        <v>12496567</v>
      </c>
      <c r="L13" s="189"/>
      <c r="M13" s="189">
        <v>-35922479</v>
      </c>
      <c r="N13" s="189"/>
      <c r="O13" s="188">
        <v>140720</v>
      </c>
      <c r="P13" s="189"/>
      <c r="Q13" s="189">
        <v>-32559189</v>
      </c>
      <c r="R13" s="178" t="s">
        <v>169</v>
      </c>
      <c r="S13" s="181">
        <v>2019</v>
      </c>
      <c r="T13" s="189"/>
      <c r="U13" s="188">
        <f>U$11*C13</f>
        <v>18434.97070346</v>
      </c>
      <c r="V13" s="189"/>
      <c r="W13" s="189">
        <f>W$11*E13</f>
        <v>-257342.81660640001</v>
      </c>
      <c r="X13" s="189"/>
      <c r="Y13" s="188">
        <f>Y$11*G13</f>
        <v>0</v>
      </c>
      <c r="Z13" s="189"/>
      <c r="AA13" s="189">
        <f>AA$11*I13</f>
        <v>-7726.5059069299996</v>
      </c>
      <c r="AB13" s="189"/>
      <c r="AC13" s="188">
        <f>AC$11*K13</f>
        <v>0</v>
      </c>
      <c r="AD13" s="189"/>
      <c r="AE13" s="189">
        <f>AE$11*M13</f>
        <v>0</v>
      </c>
      <c r="AF13" s="189"/>
      <c r="AG13" s="188">
        <f>AG$11*O13</f>
        <v>198.79232959999999</v>
      </c>
      <c r="AH13" s="189"/>
      <c r="AI13" s="189">
        <f>AI$11*Q13</f>
        <v>-190991.22589832998</v>
      </c>
    </row>
    <row r="14" spans="1:35" x14ac:dyDescent="0.4">
      <c r="A14" s="181">
        <v>2020</v>
      </c>
      <c r="B14" s="191"/>
      <c r="C14" s="190">
        <v>-38797611</v>
      </c>
      <c r="D14" s="191"/>
      <c r="E14" s="191">
        <v>-254018501</v>
      </c>
      <c r="F14" s="191"/>
      <c r="G14" s="190">
        <v>-76624660</v>
      </c>
      <c r="H14" s="191"/>
      <c r="I14" s="191">
        <v>-4258366</v>
      </c>
      <c r="J14" s="191"/>
      <c r="K14" s="190">
        <v>-25854781</v>
      </c>
      <c r="L14" s="191"/>
      <c r="M14" s="191">
        <v>-93054622</v>
      </c>
      <c r="N14" s="191"/>
      <c r="O14" s="190">
        <v>-33250363</v>
      </c>
      <c r="P14" s="191"/>
      <c r="Q14" s="191">
        <v>-86356059</v>
      </c>
      <c r="R14" s="178" t="s">
        <v>169</v>
      </c>
      <c r="S14" s="181">
        <v>2020</v>
      </c>
      <c r="T14" s="191"/>
      <c r="U14" s="188">
        <f t="shared" ref="U14:Y16" si="0">U$11*C14</f>
        <v>-92114.063988419992</v>
      </c>
      <c r="V14" s="191"/>
      <c r="W14" s="189">
        <f t="shared" si="0"/>
        <v>-720498.07623640005</v>
      </c>
      <c r="X14" s="191"/>
      <c r="Y14" s="188">
        <f t="shared" si="0"/>
        <v>0</v>
      </c>
      <c r="Z14" s="191"/>
      <c r="AA14" s="189">
        <f t="shared" ref="AA14:AA16" si="1">AA$11*I14</f>
        <v>-13313.483213379999</v>
      </c>
      <c r="AB14" s="191"/>
      <c r="AC14" s="188">
        <f t="shared" ref="AC14:AC16" si="2">AC$11*K14</f>
        <v>0</v>
      </c>
      <c r="AD14" s="191"/>
      <c r="AE14" s="189">
        <f t="shared" ref="AE14:AE16" si="3">AE$11*M14</f>
        <v>0</v>
      </c>
      <c r="AF14" s="191"/>
      <c r="AG14" s="188">
        <f t="shared" ref="AG14:AG16" si="4">AG$11*O14</f>
        <v>-46972.12280284</v>
      </c>
      <c r="AH14" s="191"/>
      <c r="AI14" s="189">
        <f t="shared" ref="AI14:AI16" si="5">AI$11*Q14</f>
        <v>-506562.05141223001</v>
      </c>
    </row>
    <row r="15" spans="1:35" x14ac:dyDescent="0.4">
      <c r="A15" s="182">
        <v>2021</v>
      </c>
      <c r="B15" s="191"/>
      <c r="C15" s="190">
        <v>-116420793</v>
      </c>
      <c r="D15" s="191"/>
      <c r="E15" s="191">
        <v>-553416032</v>
      </c>
      <c r="F15" s="191"/>
      <c r="G15" s="190">
        <v>-35312807</v>
      </c>
      <c r="H15" s="191"/>
      <c r="I15" s="191">
        <v>-7809394</v>
      </c>
      <c r="J15" s="191"/>
      <c r="K15" s="190">
        <v>-88814388</v>
      </c>
      <c r="L15" s="191"/>
      <c r="M15" s="191">
        <v>-198121732</v>
      </c>
      <c r="N15" s="191"/>
      <c r="O15" s="190">
        <v>-90560742</v>
      </c>
      <c r="P15" s="191"/>
      <c r="Q15" s="191">
        <v>-186026759</v>
      </c>
      <c r="R15" s="178" t="s">
        <v>169</v>
      </c>
      <c r="S15" s="182">
        <v>2021</v>
      </c>
      <c r="T15" s="191"/>
      <c r="U15" s="188">
        <f t="shared" si="0"/>
        <v>-276408.57515645999</v>
      </c>
      <c r="V15" s="191"/>
      <c r="W15" s="189">
        <f t="shared" si="0"/>
        <v>-1569709.2331648001</v>
      </c>
      <c r="X15" s="191"/>
      <c r="Y15" s="188">
        <f t="shared" si="0"/>
        <v>0</v>
      </c>
      <c r="Z15" s="191"/>
      <c r="AA15" s="189">
        <f t="shared" si="1"/>
        <v>-24415.52368342</v>
      </c>
      <c r="AB15" s="191"/>
      <c r="AC15" s="188">
        <f t="shared" si="2"/>
        <v>0</v>
      </c>
      <c r="AD15" s="191"/>
      <c r="AE15" s="189">
        <f t="shared" si="3"/>
        <v>0</v>
      </c>
      <c r="AF15" s="191"/>
      <c r="AG15" s="188">
        <f t="shared" si="4"/>
        <v>-127933.34900855999</v>
      </c>
      <c r="AH15" s="191"/>
      <c r="AI15" s="189">
        <f t="shared" si="5"/>
        <v>-1091227.3874912299</v>
      </c>
    </row>
    <row r="16" spans="1:35" x14ac:dyDescent="0.4">
      <c r="A16" s="181">
        <v>2022</v>
      </c>
      <c r="B16" s="193"/>
      <c r="C16" s="192">
        <v>-30023882</v>
      </c>
      <c r="D16" s="193"/>
      <c r="E16" s="193">
        <v>-149583211</v>
      </c>
      <c r="F16" s="193"/>
      <c r="G16" s="192">
        <v>-12834988</v>
      </c>
      <c r="H16" s="193"/>
      <c r="I16" s="193">
        <v>-2167204</v>
      </c>
      <c r="J16" s="193"/>
      <c r="K16" s="192">
        <v>-22723684</v>
      </c>
      <c r="L16" s="193"/>
      <c r="M16" s="193">
        <v>-53577312</v>
      </c>
      <c r="N16" s="193"/>
      <c r="O16" s="192">
        <v>-23721898</v>
      </c>
      <c r="P16" s="193"/>
      <c r="Q16" s="193">
        <v>-50373462</v>
      </c>
      <c r="R16" s="178" t="s">
        <v>169</v>
      </c>
      <c r="S16" s="181">
        <v>2022</v>
      </c>
      <c r="T16" s="193"/>
      <c r="U16" s="188">
        <f t="shared" si="0"/>
        <v>-71283.301122039993</v>
      </c>
      <c r="V16" s="193"/>
      <c r="W16" s="189">
        <f t="shared" si="0"/>
        <v>-424277.81968040002</v>
      </c>
      <c r="X16" s="193"/>
      <c r="Y16" s="188">
        <f t="shared" si="0"/>
        <v>0</v>
      </c>
      <c r="Z16" s="193"/>
      <c r="AA16" s="189">
        <f t="shared" si="1"/>
        <v>-6775.6116017200002</v>
      </c>
      <c r="AB16" s="193"/>
      <c r="AC16" s="188">
        <f t="shared" si="2"/>
        <v>0</v>
      </c>
      <c r="AD16" s="193"/>
      <c r="AE16" s="189">
        <f t="shared" si="3"/>
        <v>0</v>
      </c>
      <c r="AF16" s="193"/>
      <c r="AG16" s="188">
        <f t="shared" si="4"/>
        <v>-33511.45086664</v>
      </c>
      <c r="AH16" s="193"/>
      <c r="AI16" s="189">
        <f t="shared" si="5"/>
        <v>-295489.21688814001</v>
      </c>
    </row>
    <row r="17" spans="1:35" ht="21" thickBot="1" x14ac:dyDescent="0.45">
      <c r="A17" s="185" t="s">
        <v>166</v>
      </c>
      <c r="B17" s="198"/>
      <c r="C17" s="197">
        <f>SUM(C13:C16)</f>
        <v>-177477643</v>
      </c>
      <c r="D17" s="198"/>
      <c r="E17" s="198">
        <f>SUM(E13:E16)</f>
        <v>-1047746420</v>
      </c>
      <c r="F17" s="198"/>
      <c r="G17" s="197">
        <f>SUM(G13:G16)</f>
        <v>-145405159</v>
      </c>
      <c r="H17" s="198"/>
      <c r="I17" s="198">
        <f>SUM(I13:I16)</f>
        <v>-16706315</v>
      </c>
      <c r="J17" s="198"/>
      <c r="K17" s="197">
        <f>SUM(K13:K16)</f>
        <v>-124896286</v>
      </c>
      <c r="L17" s="198"/>
      <c r="M17" s="198">
        <f>SUM(M13:M16)</f>
        <v>-380676145</v>
      </c>
      <c r="N17" s="198"/>
      <c r="O17" s="197">
        <f>SUM(O13:O16)</f>
        <v>-147392283</v>
      </c>
      <c r="P17" s="198"/>
      <c r="Q17" s="198">
        <f>SUM(Q13:Q16)</f>
        <v>-355315469</v>
      </c>
      <c r="R17" s="178" t="s">
        <v>169</v>
      </c>
      <c r="S17" s="185" t="s">
        <v>166</v>
      </c>
      <c r="T17" s="198"/>
      <c r="U17" s="197">
        <f>SUM(U13:U16)</f>
        <v>-421370.96956345998</v>
      </c>
      <c r="V17" s="198"/>
      <c r="W17" s="198">
        <f>SUM(W13:W16)</f>
        <v>-2971827.9456880004</v>
      </c>
      <c r="X17" s="198"/>
      <c r="Y17" s="197">
        <f>SUM(Y13:Y16)</f>
        <v>0</v>
      </c>
      <c r="Z17" s="198"/>
      <c r="AA17" s="198">
        <f>SUM(AA13:AA16)</f>
        <v>-52231.124405449998</v>
      </c>
      <c r="AB17" s="198"/>
      <c r="AC17" s="197">
        <f>SUM(AC13:AC16)</f>
        <v>0</v>
      </c>
      <c r="AD17" s="198"/>
      <c r="AE17" s="198">
        <f>SUM(AE13:AE16)</f>
        <v>0</v>
      </c>
      <c r="AF17" s="198"/>
      <c r="AG17" s="197">
        <f>SUM(AG13:AG16)</f>
        <v>-208218.13034844</v>
      </c>
      <c r="AH17" s="198"/>
      <c r="AI17" s="198">
        <f>SUM(AI13:AI16)</f>
        <v>-2084269.8816899299</v>
      </c>
    </row>
    <row r="18" spans="1:35" ht="15" thickTop="1" x14ac:dyDescent="0.4">
      <c r="R18" s="178" t="s">
        <v>169</v>
      </c>
    </row>
    <row r="19" spans="1:35" ht="15" thickBot="1" x14ac:dyDescent="0.45">
      <c r="R19" s="178" t="s">
        <v>169</v>
      </c>
    </row>
    <row r="20" spans="1:35" x14ac:dyDescent="0.4">
      <c r="A20" s="403" t="s">
        <v>0</v>
      </c>
      <c r="B20" s="404"/>
      <c r="C20" s="404"/>
      <c r="D20" s="404"/>
      <c r="E20" s="404"/>
      <c r="F20" s="404"/>
      <c r="G20" s="404"/>
      <c r="H20" s="404"/>
      <c r="I20" s="404"/>
      <c r="J20" s="404"/>
      <c r="K20" s="404"/>
      <c r="L20" s="404"/>
      <c r="M20" s="404"/>
      <c r="N20" s="404"/>
      <c r="O20" s="404"/>
      <c r="P20" s="404"/>
      <c r="Q20" s="186"/>
      <c r="R20" s="178" t="s">
        <v>169</v>
      </c>
      <c r="S20" s="403" t="s">
        <v>199</v>
      </c>
      <c r="T20" s="404"/>
      <c r="U20" s="404"/>
      <c r="V20" s="404"/>
      <c r="W20" s="404"/>
      <c r="X20" s="404"/>
      <c r="Y20" s="404"/>
      <c r="Z20" s="404"/>
      <c r="AA20" s="404"/>
      <c r="AB20" s="404"/>
      <c r="AC20" s="404"/>
      <c r="AD20" s="404"/>
      <c r="AE20" s="404"/>
      <c r="AF20" s="404"/>
      <c r="AG20" s="404"/>
      <c r="AH20" s="404"/>
      <c r="AI20" s="186"/>
    </row>
    <row r="21" spans="1:35" ht="15" thickBot="1" x14ac:dyDescent="0.45">
      <c r="A21" s="405" t="s">
        <v>287</v>
      </c>
      <c r="B21" s="406"/>
      <c r="C21" s="406"/>
      <c r="D21" s="406"/>
      <c r="E21" s="406"/>
      <c r="F21" s="406"/>
      <c r="G21" s="406"/>
      <c r="H21" s="406"/>
      <c r="I21" s="406"/>
      <c r="J21" s="406"/>
      <c r="K21" s="406"/>
      <c r="L21" s="406"/>
      <c r="M21" s="406"/>
      <c r="N21" s="406"/>
      <c r="O21" s="406"/>
      <c r="P21" s="406"/>
      <c r="Q21" s="187"/>
      <c r="R21" s="178" t="s">
        <v>169</v>
      </c>
      <c r="S21" s="405" t="s">
        <v>287</v>
      </c>
      <c r="T21" s="406"/>
      <c r="U21" s="406"/>
      <c r="V21" s="406"/>
      <c r="W21" s="406"/>
      <c r="X21" s="406"/>
      <c r="Y21" s="406"/>
      <c r="Z21" s="406"/>
      <c r="AA21" s="406"/>
      <c r="AB21" s="406"/>
      <c r="AC21" s="406"/>
      <c r="AD21" s="406"/>
      <c r="AE21" s="406"/>
      <c r="AF21" s="406"/>
      <c r="AG21" s="406"/>
      <c r="AH21" s="406"/>
      <c r="AI21" s="187"/>
    </row>
    <row r="22" spans="1:35" ht="15" thickBot="1" x14ac:dyDescent="0.45">
      <c r="A22" s="199"/>
      <c r="B22" s="199"/>
      <c r="C22" s="199"/>
      <c r="D22" s="199"/>
      <c r="E22" s="199"/>
      <c r="F22" s="199"/>
      <c r="G22" s="199"/>
      <c r="H22" s="199"/>
      <c r="I22" s="199"/>
      <c r="J22" s="199"/>
      <c r="K22" s="199"/>
      <c r="L22" s="199"/>
      <c r="M22" s="199"/>
      <c r="N22" s="199"/>
      <c r="O22" s="199"/>
      <c r="P22" s="199"/>
      <c r="Q22" s="199"/>
      <c r="R22" s="178" t="s">
        <v>169</v>
      </c>
      <c r="S22" s="199"/>
      <c r="T22" s="199"/>
      <c r="U22" s="199"/>
      <c r="V22" s="122">
        <f>W11</f>
        <v>2.8364000000000002E-3</v>
      </c>
      <c r="W22" s="122">
        <f>W11</f>
        <v>2.8364000000000002E-3</v>
      </c>
      <c r="X22" s="199"/>
      <c r="Y22" s="199"/>
      <c r="Z22" s="122">
        <f>AA11</f>
        <v>3.1264299999999999E-3</v>
      </c>
      <c r="AA22" s="122">
        <f>AA11</f>
        <v>3.1264299999999999E-3</v>
      </c>
      <c r="AB22" s="199"/>
      <c r="AC22" s="199"/>
      <c r="AD22" s="199"/>
      <c r="AE22" s="199"/>
      <c r="AF22" s="199"/>
      <c r="AG22" s="199"/>
      <c r="AH22" s="122">
        <f>AI11</f>
        <v>5.8659699999999999E-3</v>
      </c>
      <c r="AI22" s="122">
        <f>AI11</f>
        <v>5.8659699999999999E-3</v>
      </c>
    </row>
    <row r="23" spans="1:35" x14ac:dyDescent="0.4">
      <c r="A23" s="183" t="s">
        <v>157</v>
      </c>
      <c r="B23" s="407" t="s">
        <v>158</v>
      </c>
      <c r="C23" s="407"/>
      <c r="D23" s="408" t="s">
        <v>159</v>
      </c>
      <c r="E23" s="408"/>
      <c r="F23" s="407" t="s">
        <v>160</v>
      </c>
      <c r="G23" s="407"/>
      <c r="H23" s="408" t="s">
        <v>161</v>
      </c>
      <c r="I23" s="408"/>
      <c r="J23" s="407" t="s">
        <v>162</v>
      </c>
      <c r="K23" s="407"/>
      <c r="L23" s="408" t="s">
        <v>163</v>
      </c>
      <c r="M23" s="408"/>
      <c r="N23" s="407" t="s">
        <v>164</v>
      </c>
      <c r="O23" s="407"/>
      <c r="P23" s="409" t="s">
        <v>165</v>
      </c>
      <c r="Q23" s="409"/>
      <c r="R23" s="178" t="s">
        <v>169</v>
      </c>
      <c r="S23" s="183" t="s">
        <v>157</v>
      </c>
      <c r="T23" s="407" t="s">
        <v>158</v>
      </c>
      <c r="U23" s="407"/>
      <c r="V23" s="408" t="s">
        <v>159</v>
      </c>
      <c r="W23" s="408"/>
      <c r="X23" s="407" t="s">
        <v>160</v>
      </c>
      <c r="Y23" s="407"/>
      <c r="Z23" s="408" t="s">
        <v>161</v>
      </c>
      <c r="AA23" s="408"/>
      <c r="AB23" s="407" t="s">
        <v>162</v>
      </c>
      <c r="AC23" s="407"/>
      <c r="AD23" s="408" t="s">
        <v>163</v>
      </c>
      <c r="AE23" s="408"/>
      <c r="AF23" s="407" t="s">
        <v>164</v>
      </c>
      <c r="AG23" s="407"/>
      <c r="AH23" s="409" t="s">
        <v>165</v>
      </c>
      <c r="AI23" s="409"/>
    </row>
    <row r="24" spans="1:35" x14ac:dyDescent="0.4">
      <c r="A24" s="202"/>
      <c r="B24" s="203" t="s">
        <v>66</v>
      </c>
      <c r="C24" s="203" t="s">
        <v>67</v>
      </c>
      <c r="D24" s="204" t="s">
        <v>66</v>
      </c>
      <c r="E24" s="204" t="s">
        <v>67</v>
      </c>
      <c r="F24" s="203" t="s">
        <v>66</v>
      </c>
      <c r="G24" s="203" t="s">
        <v>67</v>
      </c>
      <c r="H24" s="204" t="s">
        <v>66</v>
      </c>
      <c r="I24" s="204" t="s">
        <v>67</v>
      </c>
      <c r="J24" s="203" t="s">
        <v>66</v>
      </c>
      <c r="K24" s="203" t="s">
        <v>67</v>
      </c>
      <c r="L24" s="204" t="s">
        <v>66</v>
      </c>
      <c r="M24" s="204" t="s">
        <v>67</v>
      </c>
      <c r="N24" s="203" t="s">
        <v>66</v>
      </c>
      <c r="O24" s="203" t="s">
        <v>67</v>
      </c>
      <c r="P24" s="204" t="s">
        <v>66</v>
      </c>
      <c r="Q24" s="204" t="s">
        <v>67</v>
      </c>
      <c r="R24" s="178" t="s">
        <v>169</v>
      </c>
      <c r="S24" s="202"/>
      <c r="T24" s="411" t="s">
        <v>168</v>
      </c>
      <c r="U24" s="411"/>
      <c r="V24" s="204" t="s">
        <v>66</v>
      </c>
      <c r="W24" s="204" t="s">
        <v>67</v>
      </c>
      <c r="X24" s="203" t="s">
        <v>66</v>
      </c>
      <c r="Y24" s="203" t="s">
        <v>67</v>
      </c>
      <c r="Z24" s="204" t="s">
        <v>66</v>
      </c>
      <c r="AA24" s="204" t="s">
        <v>67</v>
      </c>
      <c r="AB24" s="411" t="s">
        <v>168</v>
      </c>
      <c r="AC24" s="411"/>
      <c r="AD24" s="204" t="s">
        <v>66</v>
      </c>
      <c r="AE24" s="204" t="s">
        <v>67</v>
      </c>
      <c r="AF24" s="411" t="s">
        <v>168</v>
      </c>
      <c r="AG24" s="411"/>
      <c r="AH24" s="204" t="s">
        <v>66</v>
      </c>
      <c r="AI24" s="204" t="s">
        <v>67</v>
      </c>
    </row>
    <row r="25" spans="1:35" x14ac:dyDescent="0.4">
      <c r="A25" s="181">
        <v>2019</v>
      </c>
      <c r="B25" s="188">
        <v>0</v>
      </c>
      <c r="C25" s="188">
        <v>0</v>
      </c>
      <c r="D25" s="189">
        <v>-90103571</v>
      </c>
      <c r="E25" s="189">
        <v>75740874</v>
      </c>
      <c r="F25" s="188">
        <v>0</v>
      </c>
      <c r="G25" s="188">
        <v>21338322</v>
      </c>
      <c r="H25" s="189">
        <v>-121066</v>
      </c>
      <c r="I25" s="189">
        <v>2932537</v>
      </c>
      <c r="J25" s="188">
        <v>0</v>
      </c>
      <c r="K25" s="188">
        <v>0</v>
      </c>
      <c r="L25" s="189">
        <v>-13848564</v>
      </c>
      <c r="M25" s="189">
        <v>50710364</v>
      </c>
      <c r="N25" s="188">
        <v>0</v>
      </c>
      <c r="O25" s="188">
        <v>0</v>
      </c>
      <c r="P25" s="189">
        <v>-5481614</v>
      </c>
      <c r="Q25" s="189">
        <v>25706579</v>
      </c>
      <c r="R25" s="178" t="s">
        <v>169</v>
      </c>
      <c r="S25" s="181">
        <v>2019</v>
      </c>
      <c r="T25" s="188"/>
      <c r="U25" s="188"/>
      <c r="V25" s="189">
        <f t="shared" ref="V25:AA25" si="6">V$22*D25</f>
        <v>-255569.76878440002</v>
      </c>
      <c r="W25" s="189">
        <f t="shared" si="6"/>
        <v>214831.41501360002</v>
      </c>
      <c r="X25" s="188">
        <f t="shared" si="6"/>
        <v>0</v>
      </c>
      <c r="Y25" s="188">
        <f t="shared" si="6"/>
        <v>0</v>
      </c>
      <c r="Z25" s="189">
        <f t="shared" si="6"/>
        <v>-378.50437438</v>
      </c>
      <c r="AA25" s="189">
        <f t="shared" si="6"/>
        <v>9168.3716529100002</v>
      </c>
      <c r="AB25" s="188"/>
      <c r="AC25" s="188"/>
      <c r="AD25" s="189">
        <f>AD$22*L25</f>
        <v>0</v>
      </c>
      <c r="AE25" s="189">
        <f>AE$22*M25</f>
        <v>0</v>
      </c>
      <c r="AF25" s="188"/>
      <c r="AG25" s="188"/>
      <c r="AH25" s="189">
        <f>AH$22*P25</f>
        <v>-32154.983275579998</v>
      </c>
      <c r="AI25" s="189">
        <f>AI$22*Q25</f>
        <v>150794.02121663</v>
      </c>
    </row>
    <row r="26" spans="1:35" x14ac:dyDescent="0.4">
      <c r="A26" s="181">
        <v>2020</v>
      </c>
      <c r="B26" s="190">
        <v>0</v>
      </c>
      <c r="C26" s="190">
        <v>0</v>
      </c>
      <c r="D26" s="189">
        <v>-48550638</v>
      </c>
      <c r="E26" s="191">
        <v>31056505</v>
      </c>
      <c r="F26" s="188">
        <v>0</v>
      </c>
      <c r="G26" s="188">
        <v>17021261</v>
      </c>
      <c r="H26" s="189">
        <v>-121066</v>
      </c>
      <c r="I26" s="189">
        <v>2932537</v>
      </c>
      <c r="J26" s="190">
        <v>0</v>
      </c>
      <c r="K26" s="190">
        <v>0</v>
      </c>
      <c r="L26" s="189">
        <v>-13848564</v>
      </c>
      <c r="M26" s="189">
        <v>35869385</v>
      </c>
      <c r="N26" s="190">
        <v>0</v>
      </c>
      <c r="O26" s="190">
        <v>0</v>
      </c>
      <c r="P26" s="189">
        <v>-5481614</v>
      </c>
      <c r="Q26" s="189">
        <v>25706579</v>
      </c>
      <c r="R26" s="178" t="s">
        <v>169</v>
      </c>
      <c r="S26" s="181">
        <v>2020</v>
      </c>
      <c r="T26" s="190"/>
      <c r="U26" s="190"/>
      <c r="V26" s="189">
        <f t="shared" ref="V26:AA30" si="7">V$22*D26</f>
        <v>-137709.02962320001</v>
      </c>
      <c r="W26" s="189">
        <f t="shared" si="7"/>
        <v>88088.670782000001</v>
      </c>
      <c r="X26" s="188">
        <f t="shared" ref="X26:Y30" si="8">X$22*F26</f>
        <v>0</v>
      </c>
      <c r="Y26" s="188">
        <f t="shared" si="8"/>
        <v>0</v>
      </c>
      <c r="Z26" s="189">
        <f t="shared" si="7"/>
        <v>-378.50437438</v>
      </c>
      <c r="AA26" s="189">
        <f t="shared" si="7"/>
        <v>9168.3716529100002</v>
      </c>
      <c r="AB26" s="190"/>
      <c r="AC26" s="190"/>
      <c r="AD26" s="189">
        <f t="shared" ref="AD26:AE30" si="9">AD$22*L26</f>
        <v>0</v>
      </c>
      <c r="AE26" s="189">
        <f t="shared" si="9"/>
        <v>0</v>
      </c>
      <c r="AF26" s="190"/>
      <c r="AG26" s="190"/>
      <c r="AH26" s="189">
        <f t="shared" ref="AH26:AI30" si="10">AH$22*P26</f>
        <v>-32154.983275579998</v>
      </c>
      <c r="AI26" s="189">
        <f t="shared" si="10"/>
        <v>150794.02121663</v>
      </c>
    </row>
    <row r="27" spans="1:35" x14ac:dyDescent="0.4">
      <c r="A27" s="182">
        <v>2021</v>
      </c>
      <c r="B27" s="190">
        <v>0</v>
      </c>
      <c r="C27" s="190">
        <v>0</v>
      </c>
      <c r="D27" s="191">
        <v>-38162402</v>
      </c>
      <c r="E27" s="191">
        <v>31056505</v>
      </c>
      <c r="F27" s="190">
        <v>0</v>
      </c>
      <c r="G27" s="190">
        <v>17021261</v>
      </c>
      <c r="H27" s="189">
        <v>-121066</v>
      </c>
      <c r="I27" s="189">
        <v>2932535</v>
      </c>
      <c r="J27" s="190">
        <v>0</v>
      </c>
      <c r="K27" s="190">
        <v>0</v>
      </c>
      <c r="L27" s="189">
        <v>-5539427</v>
      </c>
      <c r="M27" s="189">
        <v>21028406</v>
      </c>
      <c r="N27" s="190">
        <v>0</v>
      </c>
      <c r="O27" s="190">
        <v>0</v>
      </c>
      <c r="P27" s="189">
        <v>-5481614</v>
      </c>
      <c r="Q27" s="189">
        <v>11860227</v>
      </c>
      <c r="R27" s="178" t="s">
        <v>169</v>
      </c>
      <c r="S27" s="182">
        <v>2021</v>
      </c>
      <c r="T27" s="190"/>
      <c r="U27" s="190"/>
      <c r="V27" s="189">
        <f t="shared" si="7"/>
        <v>-108243.8370328</v>
      </c>
      <c r="W27" s="189">
        <f t="shared" si="7"/>
        <v>88088.670782000001</v>
      </c>
      <c r="X27" s="188">
        <f t="shared" si="8"/>
        <v>0</v>
      </c>
      <c r="Y27" s="188">
        <f t="shared" si="8"/>
        <v>0</v>
      </c>
      <c r="Z27" s="189">
        <f t="shared" si="7"/>
        <v>-378.50437438</v>
      </c>
      <c r="AA27" s="189">
        <f t="shared" si="7"/>
        <v>9168.3654000499992</v>
      </c>
      <c r="AB27" s="190"/>
      <c r="AC27" s="190"/>
      <c r="AD27" s="189">
        <f t="shared" si="9"/>
        <v>0</v>
      </c>
      <c r="AE27" s="189">
        <f t="shared" si="9"/>
        <v>0</v>
      </c>
      <c r="AF27" s="190"/>
      <c r="AG27" s="190"/>
      <c r="AH27" s="189">
        <f t="shared" si="10"/>
        <v>-32154.983275579998</v>
      </c>
      <c r="AI27" s="189">
        <f t="shared" si="10"/>
        <v>69571.735775189998</v>
      </c>
    </row>
    <row r="28" spans="1:35" x14ac:dyDescent="0.4">
      <c r="A28" s="181">
        <v>2022</v>
      </c>
      <c r="B28" s="192">
        <v>0</v>
      </c>
      <c r="C28" s="192">
        <v>0</v>
      </c>
      <c r="D28" s="191">
        <v>-38162402</v>
      </c>
      <c r="E28" s="191">
        <v>31056505</v>
      </c>
      <c r="F28" s="192">
        <v>0</v>
      </c>
      <c r="G28" s="192">
        <v>17021261</v>
      </c>
      <c r="H28" s="189">
        <v>-121066</v>
      </c>
      <c r="I28" s="189">
        <v>74669</v>
      </c>
      <c r="J28" s="192">
        <v>0</v>
      </c>
      <c r="K28" s="192">
        <v>0</v>
      </c>
      <c r="L28" s="191">
        <v>0</v>
      </c>
      <c r="M28" s="189">
        <v>21028406</v>
      </c>
      <c r="N28" s="192">
        <v>0</v>
      </c>
      <c r="O28" s="192">
        <v>0</v>
      </c>
      <c r="P28" s="189">
        <v>-5481614</v>
      </c>
      <c r="Q28" s="191">
        <v>6997142</v>
      </c>
      <c r="R28" s="178" t="s">
        <v>169</v>
      </c>
      <c r="S28" s="181">
        <v>2022</v>
      </c>
      <c r="T28" s="192"/>
      <c r="U28" s="192"/>
      <c r="V28" s="189">
        <f t="shared" si="7"/>
        <v>-108243.8370328</v>
      </c>
      <c r="W28" s="189">
        <f t="shared" si="7"/>
        <v>88088.670782000001</v>
      </c>
      <c r="X28" s="188">
        <f t="shared" si="8"/>
        <v>0</v>
      </c>
      <c r="Y28" s="188">
        <f t="shared" si="8"/>
        <v>0</v>
      </c>
      <c r="Z28" s="189">
        <f t="shared" si="7"/>
        <v>-378.50437438</v>
      </c>
      <c r="AA28" s="189">
        <f t="shared" si="7"/>
        <v>233.44740167</v>
      </c>
      <c r="AB28" s="192"/>
      <c r="AC28" s="192"/>
      <c r="AD28" s="189">
        <f t="shared" si="9"/>
        <v>0</v>
      </c>
      <c r="AE28" s="189">
        <f t="shared" si="9"/>
        <v>0</v>
      </c>
      <c r="AF28" s="192"/>
      <c r="AG28" s="192"/>
      <c r="AH28" s="189">
        <f t="shared" si="10"/>
        <v>-32154.983275579998</v>
      </c>
      <c r="AI28" s="189">
        <f t="shared" si="10"/>
        <v>41045.02505774</v>
      </c>
    </row>
    <row r="29" spans="1:35" x14ac:dyDescent="0.4">
      <c r="A29" s="181">
        <v>2023</v>
      </c>
      <c r="B29" s="194">
        <v>0</v>
      </c>
      <c r="C29" s="194">
        <v>0</v>
      </c>
      <c r="D29" s="191">
        <v>-38162402</v>
      </c>
      <c r="E29" s="191">
        <v>31056505</v>
      </c>
      <c r="F29" s="194">
        <v>0</v>
      </c>
      <c r="G29" s="194">
        <v>8950717</v>
      </c>
      <c r="H29" s="189">
        <v>-121066</v>
      </c>
      <c r="I29" s="189">
        <v>43416</v>
      </c>
      <c r="J29" s="194">
        <v>0</v>
      </c>
      <c r="K29" s="194">
        <v>0</v>
      </c>
      <c r="L29" s="195">
        <v>0</v>
      </c>
      <c r="M29" s="189">
        <v>21028406</v>
      </c>
      <c r="N29" s="194">
        <v>0</v>
      </c>
      <c r="O29" s="194">
        <v>0</v>
      </c>
      <c r="P29" s="189">
        <v>-5481614</v>
      </c>
      <c r="Q29" s="191">
        <v>6997142</v>
      </c>
      <c r="R29" s="178" t="s">
        <v>169</v>
      </c>
      <c r="S29" s="181">
        <v>2023</v>
      </c>
      <c r="T29" s="194"/>
      <c r="U29" s="194"/>
      <c r="V29" s="189">
        <f t="shared" si="7"/>
        <v>-108243.8370328</v>
      </c>
      <c r="W29" s="189">
        <f t="shared" si="7"/>
        <v>88088.670782000001</v>
      </c>
      <c r="X29" s="188">
        <f t="shared" si="8"/>
        <v>0</v>
      </c>
      <c r="Y29" s="188">
        <f t="shared" si="8"/>
        <v>0</v>
      </c>
      <c r="Z29" s="189">
        <f t="shared" si="7"/>
        <v>-378.50437438</v>
      </c>
      <c r="AA29" s="189">
        <f t="shared" si="7"/>
        <v>135.73708488</v>
      </c>
      <c r="AB29" s="194"/>
      <c r="AC29" s="194"/>
      <c r="AD29" s="189">
        <f t="shared" si="9"/>
        <v>0</v>
      </c>
      <c r="AE29" s="189">
        <f t="shared" si="9"/>
        <v>0</v>
      </c>
      <c r="AF29" s="194"/>
      <c r="AG29" s="194"/>
      <c r="AH29" s="189">
        <f t="shared" si="10"/>
        <v>-32154.983275579998</v>
      </c>
      <c r="AI29" s="189">
        <f t="shared" si="10"/>
        <v>41045.02505774</v>
      </c>
    </row>
    <row r="30" spans="1:35" x14ac:dyDescent="0.4">
      <c r="A30" s="181" t="s">
        <v>137</v>
      </c>
      <c r="B30" s="196">
        <v>0</v>
      </c>
      <c r="C30" s="196">
        <v>0</v>
      </c>
      <c r="D30" s="195">
        <v>-45794883</v>
      </c>
      <c r="E30" s="195">
        <v>9316952</v>
      </c>
      <c r="F30" s="196">
        <v>0</v>
      </c>
      <c r="G30" s="196">
        <v>1071107</v>
      </c>
      <c r="H30" s="191">
        <v>-665862</v>
      </c>
      <c r="I30" s="191">
        <v>273515</v>
      </c>
      <c r="J30" s="196">
        <v>0</v>
      </c>
      <c r="K30" s="196">
        <v>0</v>
      </c>
      <c r="L30" s="195">
        <v>0</v>
      </c>
      <c r="M30" s="195">
        <v>61856059</v>
      </c>
      <c r="N30" s="196">
        <v>0</v>
      </c>
      <c r="O30" s="196">
        <v>0</v>
      </c>
      <c r="P30" s="191">
        <v>-19733814</v>
      </c>
      <c r="Q30" s="191">
        <v>31487142</v>
      </c>
      <c r="R30" s="178" t="s">
        <v>169</v>
      </c>
      <c r="S30" s="181" t="s">
        <v>137</v>
      </c>
      <c r="T30" s="196"/>
      <c r="U30" s="196"/>
      <c r="V30" s="189">
        <f t="shared" si="7"/>
        <v>-129892.60614120001</v>
      </c>
      <c r="W30" s="189">
        <f t="shared" si="7"/>
        <v>26426.6026528</v>
      </c>
      <c r="X30" s="188">
        <f t="shared" si="8"/>
        <v>0</v>
      </c>
      <c r="Y30" s="188">
        <f t="shared" si="8"/>
        <v>0</v>
      </c>
      <c r="Z30" s="189">
        <f t="shared" si="7"/>
        <v>-2081.7709326599997</v>
      </c>
      <c r="AA30" s="189">
        <f t="shared" si="7"/>
        <v>855.12550145</v>
      </c>
      <c r="AB30" s="196"/>
      <c r="AC30" s="196"/>
      <c r="AD30" s="189">
        <f t="shared" si="9"/>
        <v>0</v>
      </c>
      <c r="AE30" s="189">
        <f t="shared" si="9"/>
        <v>0</v>
      </c>
      <c r="AF30" s="196"/>
      <c r="AG30" s="196"/>
      <c r="AH30" s="189">
        <f t="shared" si="10"/>
        <v>-115757.96090958</v>
      </c>
      <c r="AI30" s="189">
        <f t="shared" si="10"/>
        <v>184702.63035773998</v>
      </c>
    </row>
    <row r="31" spans="1:35" ht="21" thickBot="1" x14ac:dyDescent="0.45">
      <c r="A31" s="185" t="s">
        <v>166</v>
      </c>
      <c r="B31" s="197">
        <f t="shared" ref="B31:Q31" si="11">SUM(B25:B30)</f>
        <v>0</v>
      </c>
      <c r="C31" s="197">
        <f t="shared" si="11"/>
        <v>0</v>
      </c>
      <c r="D31" s="198">
        <f t="shared" si="11"/>
        <v>-298936298</v>
      </c>
      <c r="E31" s="198">
        <f t="shared" si="11"/>
        <v>209283846</v>
      </c>
      <c r="F31" s="197">
        <f t="shared" si="11"/>
        <v>0</v>
      </c>
      <c r="G31" s="197">
        <f t="shared" si="11"/>
        <v>82423929</v>
      </c>
      <c r="H31" s="198">
        <f t="shared" si="11"/>
        <v>-1271192</v>
      </c>
      <c r="I31" s="198">
        <f t="shared" si="11"/>
        <v>9189209</v>
      </c>
      <c r="J31" s="197">
        <f t="shared" si="11"/>
        <v>0</v>
      </c>
      <c r="K31" s="197">
        <f t="shared" si="11"/>
        <v>0</v>
      </c>
      <c r="L31" s="198">
        <f t="shared" si="11"/>
        <v>-33236555</v>
      </c>
      <c r="M31" s="198">
        <f t="shared" si="11"/>
        <v>211521026</v>
      </c>
      <c r="N31" s="197">
        <f t="shared" si="11"/>
        <v>0</v>
      </c>
      <c r="O31" s="197">
        <f t="shared" si="11"/>
        <v>0</v>
      </c>
      <c r="P31" s="198">
        <f t="shared" si="11"/>
        <v>-47141884</v>
      </c>
      <c r="Q31" s="198">
        <f t="shared" si="11"/>
        <v>108754811</v>
      </c>
      <c r="R31" s="178" t="s">
        <v>169</v>
      </c>
      <c r="S31" s="185" t="s">
        <v>166</v>
      </c>
      <c r="T31" s="197"/>
      <c r="U31" s="197"/>
      <c r="V31" s="198">
        <f t="shared" ref="V31:AA31" si="12">SUM(V25:V30)</f>
        <v>-847902.91564720008</v>
      </c>
      <c r="W31" s="198">
        <f t="shared" si="12"/>
        <v>593612.70079440007</v>
      </c>
      <c r="X31" s="197">
        <f t="shared" si="12"/>
        <v>0</v>
      </c>
      <c r="Y31" s="197">
        <f t="shared" si="12"/>
        <v>0</v>
      </c>
      <c r="Z31" s="198">
        <f t="shared" si="12"/>
        <v>-3974.2928045599997</v>
      </c>
      <c r="AA31" s="198">
        <f t="shared" si="12"/>
        <v>28729.418693869997</v>
      </c>
      <c r="AB31" s="197"/>
      <c r="AC31" s="197"/>
      <c r="AD31" s="198">
        <f>SUM(AD25:AD30)</f>
        <v>0</v>
      </c>
      <c r="AE31" s="198">
        <f>SUM(AE25:AE30)</f>
        <v>0</v>
      </c>
      <c r="AF31" s="197"/>
      <c r="AG31" s="197"/>
      <c r="AH31" s="198">
        <f>SUM(AH25:AH30)</f>
        <v>-276532.87728747999</v>
      </c>
      <c r="AI31" s="198">
        <f>SUM(AI25:AI30)</f>
        <v>637952.45868167002</v>
      </c>
    </row>
    <row r="32" spans="1:35" ht="15" thickTop="1" x14ac:dyDescent="0.4">
      <c r="R32" s="178" t="s">
        <v>169</v>
      </c>
    </row>
    <row r="33" spans="1:35" ht="15" thickBot="1" x14ac:dyDescent="0.45">
      <c r="R33" s="178" t="s">
        <v>169</v>
      </c>
    </row>
    <row r="34" spans="1:35" x14ac:dyDescent="0.4">
      <c r="A34" s="403" t="s">
        <v>2</v>
      </c>
      <c r="B34" s="404"/>
      <c r="C34" s="404"/>
      <c r="D34" s="404"/>
      <c r="E34" s="404"/>
      <c r="F34" s="404"/>
      <c r="G34" s="404"/>
      <c r="H34" s="404"/>
      <c r="I34" s="404"/>
      <c r="J34" s="404"/>
      <c r="K34" s="404"/>
      <c r="L34" s="404"/>
      <c r="M34" s="404"/>
      <c r="N34" s="404"/>
      <c r="O34" s="404"/>
      <c r="P34" s="404"/>
      <c r="Q34" s="186"/>
      <c r="R34" s="178" t="s">
        <v>169</v>
      </c>
      <c r="S34" s="403" t="s">
        <v>200</v>
      </c>
      <c r="T34" s="404"/>
      <c r="U34" s="404"/>
      <c r="V34" s="404"/>
      <c r="W34" s="404"/>
      <c r="X34" s="404"/>
      <c r="Y34" s="404"/>
      <c r="Z34" s="404"/>
      <c r="AA34" s="404"/>
      <c r="AB34" s="404"/>
      <c r="AC34" s="404"/>
      <c r="AD34" s="404"/>
      <c r="AE34" s="404"/>
      <c r="AF34" s="404"/>
      <c r="AG34" s="404"/>
      <c r="AH34" s="404"/>
      <c r="AI34" s="186"/>
    </row>
    <row r="35" spans="1:35" ht="15" thickBot="1" x14ac:dyDescent="0.45">
      <c r="A35" s="405" t="s">
        <v>287</v>
      </c>
      <c r="B35" s="406"/>
      <c r="C35" s="406"/>
      <c r="D35" s="406"/>
      <c r="E35" s="406"/>
      <c r="F35" s="406"/>
      <c r="G35" s="406"/>
      <c r="H35" s="406"/>
      <c r="I35" s="406"/>
      <c r="J35" s="406"/>
      <c r="K35" s="406"/>
      <c r="L35" s="406"/>
      <c r="M35" s="406"/>
      <c r="N35" s="406"/>
      <c r="O35" s="406"/>
      <c r="P35" s="406"/>
      <c r="Q35" s="187"/>
      <c r="R35" s="178" t="s">
        <v>169</v>
      </c>
      <c r="S35" s="405" t="s">
        <v>287</v>
      </c>
      <c r="T35" s="406"/>
      <c r="U35" s="406"/>
      <c r="V35" s="406"/>
      <c r="W35" s="406"/>
      <c r="X35" s="406"/>
      <c r="Y35" s="406"/>
      <c r="Z35" s="406"/>
      <c r="AA35" s="406"/>
      <c r="AB35" s="406"/>
      <c r="AC35" s="406"/>
      <c r="AD35" s="406"/>
      <c r="AE35" s="406"/>
      <c r="AF35" s="406"/>
      <c r="AG35" s="406"/>
      <c r="AH35" s="406"/>
      <c r="AI35" s="187"/>
    </row>
    <row r="36" spans="1:35" ht="15" thickBot="1" x14ac:dyDescent="0.45">
      <c r="A36" s="199"/>
      <c r="B36" s="199"/>
      <c r="C36" s="199"/>
      <c r="D36" s="199"/>
      <c r="E36" s="199"/>
      <c r="F36" s="199"/>
      <c r="G36" s="199"/>
      <c r="H36" s="199"/>
      <c r="I36" s="199"/>
      <c r="J36" s="199"/>
      <c r="K36" s="199"/>
      <c r="L36" s="199"/>
      <c r="M36" s="199"/>
      <c r="N36" s="199"/>
      <c r="O36" s="199"/>
      <c r="P36" s="199"/>
      <c r="Q36" s="199"/>
      <c r="R36" s="178" t="s">
        <v>169</v>
      </c>
      <c r="S36" s="199"/>
      <c r="T36" s="199"/>
      <c r="U36" s="199"/>
      <c r="V36" s="122">
        <f>W11</f>
        <v>2.8364000000000002E-3</v>
      </c>
      <c r="W36" s="122">
        <f>W11</f>
        <v>2.8364000000000002E-3</v>
      </c>
      <c r="X36" s="199"/>
      <c r="Y36" s="199"/>
      <c r="Z36" s="122">
        <f>AA11</f>
        <v>3.1264299999999999E-3</v>
      </c>
      <c r="AA36" s="122">
        <f>AA11</f>
        <v>3.1264299999999999E-3</v>
      </c>
      <c r="AB36" s="199"/>
      <c r="AC36" s="199"/>
      <c r="AD36" s="199"/>
      <c r="AE36" s="199"/>
      <c r="AF36" s="199"/>
      <c r="AG36" s="199"/>
      <c r="AH36" s="122">
        <f>AI11</f>
        <v>5.8659699999999999E-3</v>
      </c>
      <c r="AI36" s="122">
        <f>AI11</f>
        <v>5.8659699999999999E-3</v>
      </c>
    </row>
    <row r="37" spans="1:35" x14ac:dyDescent="0.4">
      <c r="A37" s="183" t="s">
        <v>157</v>
      </c>
      <c r="B37" s="407" t="s">
        <v>158</v>
      </c>
      <c r="C37" s="407"/>
      <c r="D37" s="408" t="s">
        <v>159</v>
      </c>
      <c r="E37" s="408"/>
      <c r="F37" s="407" t="s">
        <v>160</v>
      </c>
      <c r="G37" s="407"/>
      <c r="H37" s="408" t="s">
        <v>161</v>
      </c>
      <c r="I37" s="408"/>
      <c r="J37" s="407" t="s">
        <v>162</v>
      </c>
      <c r="K37" s="407"/>
      <c r="L37" s="408" t="s">
        <v>163</v>
      </c>
      <c r="M37" s="408"/>
      <c r="N37" s="407" t="s">
        <v>164</v>
      </c>
      <c r="O37" s="407"/>
      <c r="P37" s="409" t="s">
        <v>165</v>
      </c>
      <c r="Q37" s="409"/>
      <c r="R37" s="178" t="s">
        <v>169</v>
      </c>
      <c r="S37" s="183" t="s">
        <v>157</v>
      </c>
      <c r="T37" s="407" t="s">
        <v>158</v>
      </c>
      <c r="U37" s="407"/>
      <c r="V37" s="408" t="s">
        <v>159</v>
      </c>
      <c r="W37" s="408"/>
      <c r="X37" s="407" t="s">
        <v>160</v>
      </c>
      <c r="Y37" s="407"/>
      <c r="Z37" s="408" t="s">
        <v>161</v>
      </c>
      <c r="AA37" s="408"/>
      <c r="AB37" s="407" t="s">
        <v>162</v>
      </c>
      <c r="AC37" s="407"/>
      <c r="AD37" s="408" t="s">
        <v>163</v>
      </c>
      <c r="AE37" s="408"/>
      <c r="AF37" s="407" t="s">
        <v>164</v>
      </c>
      <c r="AG37" s="407"/>
      <c r="AH37" s="409" t="s">
        <v>165</v>
      </c>
      <c r="AI37" s="409"/>
    </row>
    <row r="38" spans="1:35" x14ac:dyDescent="0.4">
      <c r="A38" s="202"/>
      <c r="B38" s="203" t="s">
        <v>66</v>
      </c>
      <c r="C38" s="203" t="s">
        <v>67</v>
      </c>
      <c r="D38" s="204" t="s">
        <v>66</v>
      </c>
      <c r="E38" s="204" t="s">
        <v>67</v>
      </c>
      <c r="F38" s="203" t="s">
        <v>66</v>
      </c>
      <c r="G38" s="203" t="s">
        <v>67</v>
      </c>
      <c r="H38" s="204" t="s">
        <v>66</v>
      </c>
      <c r="I38" s="204" t="s">
        <v>67</v>
      </c>
      <c r="J38" s="203" t="s">
        <v>66</v>
      </c>
      <c r="K38" s="203" t="s">
        <v>67</v>
      </c>
      <c r="L38" s="204" t="s">
        <v>66</v>
      </c>
      <c r="M38" s="204" t="s">
        <v>67</v>
      </c>
      <c r="N38" s="203" t="s">
        <v>66</v>
      </c>
      <c r="O38" s="203" t="s">
        <v>67</v>
      </c>
      <c r="P38" s="204" t="s">
        <v>66</v>
      </c>
      <c r="Q38" s="204" t="s">
        <v>67</v>
      </c>
      <c r="R38" s="178" t="s">
        <v>169</v>
      </c>
      <c r="S38" s="202"/>
      <c r="T38" s="411" t="s">
        <v>168</v>
      </c>
      <c r="U38" s="411"/>
      <c r="V38" s="204" t="s">
        <v>66</v>
      </c>
      <c r="W38" s="204" t="s">
        <v>67</v>
      </c>
      <c r="X38" s="203" t="s">
        <v>66</v>
      </c>
      <c r="Y38" s="203" t="s">
        <v>67</v>
      </c>
      <c r="Z38" s="204" t="s">
        <v>66</v>
      </c>
      <c r="AA38" s="204" t="s">
        <v>67</v>
      </c>
      <c r="AB38" s="411" t="s">
        <v>168</v>
      </c>
      <c r="AC38" s="411"/>
      <c r="AD38" s="204" t="s">
        <v>66</v>
      </c>
      <c r="AE38" s="204" t="s">
        <v>67</v>
      </c>
      <c r="AF38" s="411" t="s">
        <v>168</v>
      </c>
      <c r="AG38" s="411"/>
      <c r="AH38" s="204" t="s">
        <v>66</v>
      </c>
      <c r="AI38" s="204" t="s">
        <v>67</v>
      </c>
    </row>
    <row r="39" spans="1:35" x14ac:dyDescent="0.4">
      <c r="A39" s="181">
        <v>2019</v>
      </c>
      <c r="B39" s="188">
        <v>0</v>
      </c>
      <c r="C39" s="188">
        <v>0</v>
      </c>
      <c r="D39" s="189">
        <v>-78373443</v>
      </c>
      <c r="E39" s="189">
        <v>15916075</v>
      </c>
      <c r="F39" s="188">
        <v>-11582620</v>
      </c>
      <c r="G39" s="188">
        <v>2367828</v>
      </c>
      <c r="H39" s="189">
        <v>-678522</v>
      </c>
      <c r="I39" s="189">
        <v>33892</v>
      </c>
      <c r="J39" s="188">
        <v>0</v>
      </c>
      <c r="K39" s="188">
        <v>0</v>
      </c>
      <c r="L39" s="189">
        <v>-20791342</v>
      </c>
      <c r="M39" s="189">
        <v>3223334</v>
      </c>
      <c r="N39" s="188">
        <v>0</v>
      </c>
      <c r="O39" s="188">
        <v>0</v>
      </c>
      <c r="P39" s="189">
        <v>-30670845</v>
      </c>
      <c r="Q39" s="189">
        <v>522104</v>
      </c>
      <c r="R39" s="178" t="s">
        <v>169</v>
      </c>
      <c r="S39" s="181">
        <v>2019</v>
      </c>
      <c r="T39" s="188"/>
      <c r="U39" s="188"/>
      <c r="V39" s="189">
        <f t="shared" ref="V39:AA39" si="13">V$36*D39</f>
        <v>-222298.43372520001</v>
      </c>
      <c r="W39" s="189">
        <f t="shared" si="13"/>
        <v>45144.355130000004</v>
      </c>
      <c r="X39" s="188">
        <f t="shared" si="13"/>
        <v>0</v>
      </c>
      <c r="Y39" s="188">
        <f t="shared" si="13"/>
        <v>0</v>
      </c>
      <c r="Z39" s="189">
        <f t="shared" si="13"/>
        <v>-2121.3515364599998</v>
      </c>
      <c r="AA39" s="189">
        <f t="shared" si="13"/>
        <v>105.96096555999999</v>
      </c>
      <c r="AB39" s="188"/>
      <c r="AC39" s="188"/>
      <c r="AD39" s="189">
        <f>AD$36*L39</f>
        <v>0</v>
      </c>
      <c r="AE39" s="189">
        <f>AE$36*M39</f>
        <v>0</v>
      </c>
      <c r="AF39" s="188"/>
      <c r="AG39" s="188"/>
      <c r="AH39" s="189">
        <f>AH$36*P39</f>
        <v>-179914.25664464998</v>
      </c>
      <c r="AI39" s="189">
        <f>AI$36*Q39</f>
        <v>3062.6464008799999</v>
      </c>
    </row>
    <row r="40" spans="1:35" x14ac:dyDescent="0.4">
      <c r="A40" s="181">
        <v>2020</v>
      </c>
      <c r="B40" s="190">
        <v>0</v>
      </c>
      <c r="C40" s="190">
        <v>0</v>
      </c>
      <c r="D40" s="189">
        <v>-78373443</v>
      </c>
      <c r="E40" s="189">
        <v>3244823</v>
      </c>
      <c r="F40" s="188">
        <v>-11582620</v>
      </c>
      <c r="G40" s="190">
        <v>698</v>
      </c>
      <c r="H40" s="189">
        <v>-678522</v>
      </c>
      <c r="I40" s="189">
        <v>33892</v>
      </c>
      <c r="J40" s="190">
        <v>0</v>
      </c>
      <c r="K40" s="190">
        <v>0</v>
      </c>
      <c r="L40" s="189">
        <v>-20791342</v>
      </c>
      <c r="M40" s="189">
        <v>3141894</v>
      </c>
      <c r="N40" s="190">
        <v>0</v>
      </c>
      <c r="O40" s="190">
        <v>0</v>
      </c>
      <c r="P40" s="189">
        <v>-30670845</v>
      </c>
      <c r="Q40" s="189">
        <v>522104</v>
      </c>
      <c r="R40" s="178" t="s">
        <v>169</v>
      </c>
      <c r="S40" s="181">
        <v>2020</v>
      </c>
      <c r="T40" s="190"/>
      <c r="U40" s="190"/>
      <c r="V40" s="189">
        <f t="shared" ref="V40:W44" si="14">V$36*D40</f>
        <v>-222298.43372520001</v>
      </c>
      <c r="W40" s="189">
        <f t="shared" si="14"/>
        <v>9203.6159572000015</v>
      </c>
      <c r="X40" s="188">
        <f t="shared" ref="X40:AA44" si="15">X$36*F40</f>
        <v>0</v>
      </c>
      <c r="Y40" s="188">
        <f t="shared" si="15"/>
        <v>0</v>
      </c>
      <c r="Z40" s="189">
        <f t="shared" si="15"/>
        <v>-2121.3515364599998</v>
      </c>
      <c r="AA40" s="189">
        <f t="shared" si="15"/>
        <v>105.96096555999999</v>
      </c>
      <c r="AB40" s="190"/>
      <c r="AC40" s="190"/>
      <c r="AD40" s="189">
        <f t="shared" ref="AD40:AE44" si="16">AD$36*L40</f>
        <v>0</v>
      </c>
      <c r="AE40" s="189">
        <f t="shared" si="16"/>
        <v>0</v>
      </c>
      <c r="AF40" s="190"/>
      <c r="AG40" s="190"/>
      <c r="AH40" s="189">
        <f t="shared" ref="AH40:AI44" si="17">AH$36*P40</f>
        <v>-179914.25664464998</v>
      </c>
      <c r="AI40" s="189">
        <f t="shared" si="17"/>
        <v>3062.6464008799999</v>
      </c>
    </row>
    <row r="41" spans="1:35" x14ac:dyDescent="0.4">
      <c r="A41" s="182">
        <v>2021</v>
      </c>
      <c r="B41" s="190">
        <v>0</v>
      </c>
      <c r="C41" s="190">
        <v>0</v>
      </c>
      <c r="D41" s="189">
        <v>-78373443</v>
      </c>
      <c r="E41" s="191">
        <v>246336</v>
      </c>
      <c r="F41" s="188">
        <v>-11582620</v>
      </c>
      <c r="G41" s="190">
        <v>698</v>
      </c>
      <c r="H41" s="189">
        <v>-678522</v>
      </c>
      <c r="I41" s="189">
        <v>33894</v>
      </c>
      <c r="J41" s="190">
        <v>0</v>
      </c>
      <c r="K41" s="190">
        <v>0</v>
      </c>
      <c r="L41" s="189">
        <v>-20791342</v>
      </c>
      <c r="M41" s="189">
        <v>1231204</v>
      </c>
      <c r="N41" s="190">
        <v>0</v>
      </c>
      <c r="O41" s="190">
        <v>0</v>
      </c>
      <c r="P41" s="189">
        <v>-30670845</v>
      </c>
      <c r="Q41" s="189">
        <v>105022</v>
      </c>
      <c r="R41" s="178" t="s">
        <v>169</v>
      </c>
      <c r="S41" s="182">
        <v>2021</v>
      </c>
      <c r="T41" s="190"/>
      <c r="U41" s="190"/>
      <c r="V41" s="189">
        <f t="shared" si="14"/>
        <v>-222298.43372520001</v>
      </c>
      <c r="W41" s="189">
        <f t="shared" si="14"/>
        <v>698.70743040000002</v>
      </c>
      <c r="X41" s="188">
        <f t="shared" si="15"/>
        <v>0</v>
      </c>
      <c r="Y41" s="188">
        <f t="shared" si="15"/>
        <v>0</v>
      </c>
      <c r="Z41" s="189">
        <f t="shared" si="15"/>
        <v>-2121.3515364599998</v>
      </c>
      <c r="AA41" s="189">
        <f t="shared" si="15"/>
        <v>105.96721841999999</v>
      </c>
      <c r="AB41" s="190"/>
      <c r="AC41" s="190"/>
      <c r="AD41" s="189">
        <f t="shared" si="16"/>
        <v>0</v>
      </c>
      <c r="AE41" s="189">
        <f t="shared" si="16"/>
        <v>0</v>
      </c>
      <c r="AF41" s="190"/>
      <c r="AG41" s="190"/>
      <c r="AH41" s="189">
        <f t="shared" si="17"/>
        <v>-179914.25664464998</v>
      </c>
      <c r="AI41" s="189">
        <f t="shared" si="17"/>
        <v>616.05590133999999</v>
      </c>
    </row>
    <row r="42" spans="1:35" x14ac:dyDescent="0.4">
      <c r="A42" s="181">
        <v>2022</v>
      </c>
      <c r="B42" s="192">
        <v>0</v>
      </c>
      <c r="C42" s="192">
        <v>0</v>
      </c>
      <c r="D42" s="189">
        <v>-78373443</v>
      </c>
      <c r="E42" s="191">
        <v>246336</v>
      </c>
      <c r="F42" s="188">
        <v>-11582620</v>
      </c>
      <c r="G42" s="192">
        <v>698</v>
      </c>
      <c r="H42" s="189">
        <v>-678522</v>
      </c>
      <c r="I42" s="189">
        <v>12657</v>
      </c>
      <c r="J42" s="192">
        <v>0</v>
      </c>
      <c r="K42" s="192">
        <v>0</v>
      </c>
      <c r="L42" s="189">
        <v>-20791342</v>
      </c>
      <c r="M42" s="189">
        <v>11704</v>
      </c>
      <c r="N42" s="192">
        <v>0</v>
      </c>
      <c r="O42" s="192">
        <v>0</v>
      </c>
      <c r="P42" s="189">
        <v>-30670845</v>
      </c>
      <c r="Q42" s="191">
        <v>0</v>
      </c>
      <c r="R42" s="178" t="s">
        <v>169</v>
      </c>
      <c r="S42" s="181">
        <v>2022</v>
      </c>
      <c r="T42" s="192"/>
      <c r="U42" s="192"/>
      <c r="V42" s="189">
        <f t="shared" si="14"/>
        <v>-222298.43372520001</v>
      </c>
      <c r="W42" s="189">
        <f t="shared" si="14"/>
        <v>698.70743040000002</v>
      </c>
      <c r="X42" s="188">
        <f t="shared" si="15"/>
        <v>0</v>
      </c>
      <c r="Y42" s="188">
        <f t="shared" si="15"/>
        <v>0</v>
      </c>
      <c r="Z42" s="189">
        <f t="shared" si="15"/>
        <v>-2121.3515364599998</v>
      </c>
      <c r="AA42" s="189">
        <f t="shared" si="15"/>
        <v>39.57122451</v>
      </c>
      <c r="AB42" s="192"/>
      <c r="AC42" s="192"/>
      <c r="AD42" s="189">
        <f t="shared" si="16"/>
        <v>0</v>
      </c>
      <c r="AE42" s="189">
        <f t="shared" si="16"/>
        <v>0</v>
      </c>
      <c r="AF42" s="192"/>
      <c r="AG42" s="192"/>
      <c r="AH42" s="189">
        <f t="shared" si="17"/>
        <v>-179914.25664464998</v>
      </c>
      <c r="AI42" s="189">
        <f t="shared" si="17"/>
        <v>0</v>
      </c>
    </row>
    <row r="43" spans="1:35" x14ac:dyDescent="0.4">
      <c r="A43" s="181">
        <v>2023</v>
      </c>
      <c r="B43" s="194">
        <v>0</v>
      </c>
      <c r="C43" s="194">
        <v>0</v>
      </c>
      <c r="D43" s="189">
        <v>-78373443</v>
      </c>
      <c r="E43" s="191">
        <v>246336</v>
      </c>
      <c r="F43" s="188">
        <v>-11582620</v>
      </c>
      <c r="G43" s="194">
        <v>277</v>
      </c>
      <c r="H43" s="189">
        <v>-678522</v>
      </c>
      <c r="I43" s="189">
        <v>2804</v>
      </c>
      <c r="J43" s="194">
        <v>0</v>
      </c>
      <c r="K43" s="194">
        <v>0</v>
      </c>
      <c r="L43" s="189">
        <v>-20791342</v>
      </c>
      <c r="M43" s="191">
        <v>11704</v>
      </c>
      <c r="N43" s="194">
        <v>0</v>
      </c>
      <c r="O43" s="194">
        <v>0</v>
      </c>
      <c r="P43" s="189">
        <v>-30670845</v>
      </c>
      <c r="Q43" s="191">
        <v>0</v>
      </c>
      <c r="R43" s="178" t="s">
        <v>169</v>
      </c>
      <c r="S43" s="181">
        <v>2023</v>
      </c>
      <c r="T43" s="194"/>
      <c r="U43" s="194"/>
      <c r="V43" s="189">
        <f t="shared" si="14"/>
        <v>-222298.43372520001</v>
      </c>
      <c r="W43" s="189">
        <f t="shared" si="14"/>
        <v>698.70743040000002</v>
      </c>
      <c r="X43" s="188">
        <f t="shared" si="15"/>
        <v>0</v>
      </c>
      <c r="Y43" s="188">
        <f t="shared" si="15"/>
        <v>0</v>
      </c>
      <c r="Z43" s="189">
        <f t="shared" si="15"/>
        <v>-2121.3515364599998</v>
      </c>
      <c r="AA43" s="189">
        <f t="shared" si="15"/>
        <v>8.7665097200000002</v>
      </c>
      <c r="AB43" s="194"/>
      <c r="AC43" s="194"/>
      <c r="AD43" s="189">
        <f t="shared" si="16"/>
        <v>0</v>
      </c>
      <c r="AE43" s="189">
        <f t="shared" si="16"/>
        <v>0</v>
      </c>
      <c r="AF43" s="194"/>
      <c r="AG43" s="194"/>
      <c r="AH43" s="189">
        <f t="shared" si="17"/>
        <v>-179914.25664464998</v>
      </c>
      <c r="AI43" s="189">
        <f t="shared" si="17"/>
        <v>0</v>
      </c>
    </row>
    <row r="44" spans="1:35" x14ac:dyDescent="0.4">
      <c r="A44" s="181" t="s">
        <v>137</v>
      </c>
      <c r="B44" s="196">
        <v>0</v>
      </c>
      <c r="C44" s="196">
        <v>0</v>
      </c>
      <c r="D44" s="195">
        <v>-94048133</v>
      </c>
      <c r="E44" s="195">
        <v>73903</v>
      </c>
      <c r="F44" s="196">
        <v>-3474783</v>
      </c>
      <c r="G44" s="196">
        <v>0</v>
      </c>
      <c r="H44" s="191">
        <v>-4274686</v>
      </c>
      <c r="I44" s="191">
        <v>15416</v>
      </c>
      <c r="J44" s="196">
        <v>0</v>
      </c>
      <c r="K44" s="196">
        <v>0</v>
      </c>
      <c r="L44" s="195">
        <v>-76927967</v>
      </c>
      <c r="M44" s="195">
        <v>32774</v>
      </c>
      <c r="N44" s="196">
        <v>0</v>
      </c>
      <c r="O44" s="196">
        <v>0</v>
      </c>
      <c r="P44" s="191">
        <v>-138018768</v>
      </c>
      <c r="Q44" s="191">
        <v>0</v>
      </c>
      <c r="R44" s="178" t="s">
        <v>169</v>
      </c>
      <c r="S44" s="181" t="s">
        <v>137</v>
      </c>
      <c r="T44" s="196"/>
      <c r="U44" s="196"/>
      <c r="V44" s="189">
        <f t="shared" si="14"/>
        <v>-266758.12444119999</v>
      </c>
      <c r="W44" s="189">
        <f t="shared" si="14"/>
        <v>209.61846920000002</v>
      </c>
      <c r="X44" s="188">
        <f t="shared" si="15"/>
        <v>0</v>
      </c>
      <c r="Y44" s="188">
        <f t="shared" si="15"/>
        <v>0</v>
      </c>
      <c r="Z44" s="189">
        <f t="shared" si="15"/>
        <v>-13364.506550979999</v>
      </c>
      <c r="AA44" s="189">
        <f t="shared" si="15"/>
        <v>48.19704488</v>
      </c>
      <c r="AB44" s="196"/>
      <c r="AC44" s="196"/>
      <c r="AD44" s="189">
        <f t="shared" si="16"/>
        <v>0</v>
      </c>
      <c r="AE44" s="189">
        <f t="shared" si="16"/>
        <v>0</v>
      </c>
      <c r="AF44" s="196"/>
      <c r="AG44" s="196"/>
      <c r="AH44" s="189">
        <f t="shared" si="17"/>
        <v>-809613.95252495992</v>
      </c>
      <c r="AI44" s="189">
        <f t="shared" si="17"/>
        <v>0</v>
      </c>
    </row>
    <row r="45" spans="1:35" ht="21" thickBot="1" x14ac:dyDescent="0.45">
      <c r="A45" s="185" t="s">
        <v>166</v>
      </c>
      <c r="B45" s="197">
        <f>SUM(B39:B44)</f>
        <v>0</v>
      </c>
      <c r="C45" s="197">
        <f>SUM(C39:C44)</f>
        <v>0</v>
      </c>
      <c r="D45" s="198">
        <f t="shared" ref="D45:Q45" si="18">SUM(D39:D44)</f>
        <v>-485915348</v>
      </c>
      <c r="E45" s="198">
        <f t="shared" si="18"/>
        <v>19973809</v>
      </c>
      <c r="F45" s="197">
        <f t="shared" si="18"/>
        <v>-61387883</v>
      </c>
      <c r="G45" s="197">
        <f t="shared" si="18"/>
        <v>2370199</v>
      </c>
      <c r="H45" s="198">
        <f t="shared" si="18"/>
        <v>-7667296</v>
      </c>
      <c r="I45" s="198">
        <f t="shared" si="18"/>
        <v>132555</v>
      </c>
      <c r="J45" s="197">
        <f t="shared" si="18"/>
        <v>0</v>
      </c>
      <c r="K45" s="197">
        <f t="shared" si="18"/>
        <v>0</v>
      </c>
      <c r="L45" s="198">
        <f t="shared" si="18"/>
        <v>-180884677</v>
      </c>
      <c r="M45" s="198">
        <f t="shared" si="18"/>
        <v>7652614</v>
      </c>
      <c r="N45" s="197">
        <f t="shared" si="18"/>
        <v>0</v>
      </c>
      <c r="O45" s="197">
        <f t="shared" si="18"/>
        <v>0</v>
      </c>
      <c r="P45" s="198">
        <f t="shared" si="18"/>
        <v>-291372993</v>
      </c>
      <c r="Q45" s="198">
        <f t="shared" si="18"/>
        <v>1149230</v>
      </c>
      <c r="R45" s="178" t="s">
        <v>169</v>
      </c>
      <c r="S45" s="185" t="s">
        <v>166</v>
      </c>
      <c r="T45" s="197"/>
      <c r="U45" s="197"/>
      <c r="V45" s="198">
        <f t="shared" ref="V45:AI45" si="19">SUM(V39:V44)</f>
        <v>-1378250.2930672001</v>
      </c>
      <c r="W45" s="198">
        <f t="shared" si="19"/>
        <v>56653.711847600003</v>
      </c>
      <c r="X45" s="197">
        <f t="shared" si="19"/>
        <v>0</v>
      </c>
      <c r="Y45" s="197">
        <f t="shared" si="19"/>
        <v>0</v>
      </c>
      <c r="Z45" s="198">
        <f t="shared" si="19"/>
        <v>-23971.264233279995</v>
      </c>
      <c r="AA45" s="198">
        <f t="shared" si="19"/>
        <v>414.42392864999994</v>
      </c>
      <c r="AB45" s="197"/>
      <c r="AC45" s="197"/>
      <c r="AD45" s="198">
        <f t="shared" si="19"/>
        <v>0</v>
      </c>
      <c r="AE45" s="198">
        <f t="shared" si="19"/>
        <v>0</v>
      </c>
      <c r="AF45" s="197"/>
      <c r="AG45" s="197"/>
      <c r="AH45" s="198">
        <f t="shared" si="19"/>
        <v>-1709185.23574821</v>
      </c>
      <c r="AI45" s="198">
        <f t="shared" si="19"/>
        <v>6741.3487030999995</v>
      </c>
    </row>
    <row r="46" spans="1:35" ht="15" thickTop="1" x14ac:dyDescent="0.4"/>
    <row r="47" spans="1:35" ht="15" thickBot="1" x14ac:dyDescent="0.45"/>
    <row r="48" spans="1:35" x14ac:dyDescent="0.4">
      <c r="S48" s="412" t="s">
        <v>70</v>
      </c>
      <c r="T48" s="413"/>
      <c r="U48" s="413"/>
      <c r="V48" s="413"/>
      <c r="W48" s="413"/>
      <c r="X48" s="413"/>
      <c r="Y48" s="413"/>
      <c r="Z48" s="413"/>
      <c r="AA48" s="413"/>
      <c r="AB48" s="413"/>
      <c r="AC48" s="413"/>
      <c r="AD48" s="413"/>
      <c r="AE48" s="413"/>
      <c r="AF48" s="413"/>
      <c r="AG48" s="413"/>
      <c r="AH48" s="413"/>
      <c r="AI48" s="205"/>
    </row>
    <row r="49" spans="19:35" ht="15" thickBot="1" x14ac:dyDescent="0.45">
      <c r="S49" s="414" t="s">
        <v>287</v>
      </c>
      <c r="T49" s="415"/>
      <c r="U49" s="415"/>
      <c r="V49" s="415"/>
      <c r="W49" s="415"/>
      <c r="X49" s="415"/>
      <c r="Y49" s="415"/>
      <c r="Z49" s="415"/>
      <c r="AA49" s="415"/>
      <c r="AB49" s="415"/>
      <c r="AC49" s="415"/>
      <c r="AD49" s="415"/>
      <c r="AE49" s="415"/>
      <c r="AF49" s="415"/>
      <c r="AG49" s="415"/>
      <c r="AH49" s="415"/>
      <c r="AI49" s="206"/>
    </row>
    <row r="50" spans="19:35" x14ac:dyDescent="0.4">
      <c r="S50" s="183" t="s">
        <v>157</v>
      </c>
      <c r="T50" s="407" t="s">
        <v>158</v>
      </c>
      <c r="U50" s="407"/>
      <c r="V50" s="408" t="s">
        <v>159</v>
      </c>
      <c r="W50" s="408"/>
      <c r="X50" s="407" t="s">
        <v>160</v>
      </c>
      <c r="Y50" s="407"/>
      <c r="Z50" s="408" t="s">
        <v>161</v>
      </c>
      <c r="AA50" s="408"/>
      <c r="AB50" s="407" t="s">
        <v>162</v>
      </c>
      <c r="AC50" s="407"/>
      <c r="AD50" s="408" t="s">
        <v>163</v>
      </c>
      <c r="AE50" s="408"/>
      <c r="AF50" s="407" t="s">
        <v>164</v>
      </c>
      <c r="AG50" s="407"/>
      <c r="AH50" s="409" t="s">
        <v>165</v>
      </c>
      <c r="AI50" s="409"/>
    </row>
    <row r="51" spans="19:35" x14ac:dyDescent="0.4">
      <c r="S51" s="202"/>
      <c r="T51" s="411" t="s">
        <v>168</v>
      </c>
      <c r="U51" s="411"/>
      <c r="V51" s="204" t="s">
        <v>66</v>
      </c>
      <c r="W51" s="204" t="s">
        <v>67</v>
      </c>
      <c r="X51" s="203" t="s">
        <v>66</v>
      </c>
      <c r="Y51" s="203" t="s">
        <v>67</v>
      </c>
      <c r="Z51" s="204" t="s">
        <v>66</v>
      </c>
      <c r="AA51" s="204" t="s">
        <v>67</v>
      </c>
      <c r="AB51" s="411" t="s">
        <v>168</v>
      </c>
      <c r="AC51" s="411"/>
      <c r="AD51" s="204" t="s">
        <v>66</v>
      </c>
      <c r="AE51" s="204" t="s">
        <v>67</v>
      </c>
      <c r="AF51" s="411" t="s">
        <v>168</v>
      </c>
      <c r="AG51" s="411"/>
      <c r="AH51" s="204" t="s">
        <v>66</v>
      </c>
      <c r="AI51" s="204" t="s">
        <v>67</v>
      </c>
    </row>
    <row r="52" spans="19:35" x14ac:dyDescent="0.4">
      <c r="S52" s="181">
        <v>2019</v>
      </c>
      <c r="T52" s="188"/>
      <c r="U52" s="188"/>
      <c r="V52" s="223">
        <f>'1,2,3 - PERS_2-3'!J53+'1,2,3 - PERS_2-3'!L53+'1,2,3 - PERS_2-3'!N53+'1,2,3 - PERS_2-3'!P53</f>
        <v>-131042</v>
      </c>
      <c r="W52" s="223">
        <f>'1,2,3 - PERS_2-3'!K53+'1,2,3 - PERS_2-3'!M53+'1,2,3 - PERS_2-3'!O53+'1,2,3 - PERS_2-3'!Q53</f>
        <v>244953.18594444459</v>
      </c>
      <c r="X52" s="188">
        <v>0</v>
      </c>
      <c r="Y52" s="188">
        <v>0</v>
      </c>
      <c r="Z52" s="223">
        <f>'1,2,3 - PSERS'!J53+'1,2,3 - PSERS'!L53+'1,2,3 - PSERS'!N53+'1,2,3 - PSERS'!P53</f>
        <v>-83</v>
      </c>
      <c r="AA52" s="223">
        <f>'1,2,3 - PSERS'!K53+'1,2,3 - PSERS'!M53+'1,2,3 - PSERS'!O53+'1,2,3 - PSERS'!Q53</f>
        <v>721.98425040650409</v>
      </c>
      <c r="AB52" s="188"/>
      <c r="AC52" s="188"/>
      <c r="AD52" s="189">
        <v>0</v>
      </c>
      <c r="AE52" s="189">
        <v>0</v>
      </c>
      <c r="AF52" s="188"/>
      <c r="AG52" s="188"/>
      <c r="AH52" s="223">
        <f>'1,2,3 - LEOFF_2'!J57+'1,2,3 - LEOFF_2'!L57+'1,2,3 - LEOFF_2'!N57+'1,2,3 - LEOFF_2'!P57</f>
        <v>-62567.29686095241</v>
      </c>
      <c r="AI52" s="223">
        <f>'1,2,3 - LEOFF_2'!K57+'1,2,3 - LEOFF_2'!M57+'1,2,3 - LEOFF_2'!O57+'1,2,3 - LEOFF_2'!Q57</f>
        <v>22807</v>
      </c>
    </row>
    <row r="53" spans="19:35" x14ac:dyDescent="0.4">
      <c r="S53" s="181">
        <v>2020</v>
      </c>
      <c r="T53" s="190"/>
      <c r="U53" s="190"/>
      <c r="V53" s="223">
        <f>'1,2,3 - PERS_2-3'!J54+'1,2,3 - PERS_2-3'!L54+'1,2,3 - PERS_2-3'!N54+'1,2,3 - PERS_2-3'!P54</f>
        <v>-131042</v>
      </c>
      <c r="W53" s="223">
        <f>'1,2,3 - PERS_2-3'!K54+'1,2,3 - PERS_2-3'!M54+'1,2,3 - PERS_2-3'!O54+'1,2,3 - PERS_2-3'!Q54</f>
        <v>114076.18594444459</v>
      </c>
      <c r="X53" s="188">
        <v>0</v>
      </c>
      <c r="Y53" s="188">
        <v>0</v>
      </c>
      <c r="Z53" s="223">
        <f>'1,2,3 - PSERS'!J54+'1,2,3 - PSERS'!L54+'1,2,3 - PSERS'!N54+'1,2,3 - PSERS'!P54</f>
        <v>-83</v>
      </c>
      <c r="AA53" s="223">
        <f>'1,2,3 - PSERS'!K54+'1,2,3 - PSERS'!M54+'1,2,3 - PSERS'!O54+'1,2,3 - PSERS'!Q54</f>
        <v>721.98425040650409</v>
      </c>
      <c r="AB53" s="190"/>
      <c r="AC53" s="190"/>
      <c r="AD53" s="189">
        <v>0</v>
      </c>
      <c r="AE53" s="189">
        <v>0</v>
      </c>
      <c r="AF53" s="190"/>
      <c r="AG53" s="190"/>
      <c r="AH53" s="223">
        <f>'1,2,3 - LEOFF_2'!J58+'1,2,3 - LEOFF_2'!L58+'1,2,3 - LEOFF_2'!N58+'1,2,3 - LEOFF_2'!P58</f>
        <v>-62567.29686095241</v>
      </c>
      <c r="AI53" s="223">
        <f>'1,2,3 - LEOFF_2'!K58+'1,2,3 - LEOFF_2'!M58+'1,2,3 - LEOFF_2'!O58+'1,2,3 - LEOFF_2'!Q58</f>
        <v>22807</v>
      </c>
    </row>
    <row r="54" spans="19:35" x14ac:dyDescent="0.4">
      <c r="S54" s="182">
        <v>2021</v>
      </c>
      <c r="T54" s="190"/>
      <c r="U54" s="190"/>
      <c r="V54" s="223">
        <f>'1,2,3 - PERS_2-3'!J55+'1,2,3 - PERS_2-3'!L55+'1,2,3 - PERS_2-3'!N55+'1,2,3 - PERS_2-3'!P55</f>
        <v>-131042</v>
      </c>
      <c r="W54" s="223">
        <f>'1,2,3 - PERS_2-3'!K55+'1,2,3 - PERS_2-3'!M55+'1,2,3 - PERS_2-3'!O55+'1,2,3 - PERS_2-3'!Q55</f>
        <v>86521.185944444587</v>
      </c>
      <c r="X54" s="188">
        <v>0</v>
      </c>
      <c r="Y54" s="188">
        <v>0</v>
      </c>
      <c r="Z54" s="223">
        <f>'1,2,3 - PSERS'!J55+'1,2,3 - PSERS'!L55+'1,2,3 - PSERS'!N55+'1,2,3 - PSERS'!P55</f>
        <v>-83</v>
      </c>
      <c r="AA54" s="223">
        <f>'1,2,3 - PSERS'!K55+'1,2,3 - PSERS'!M55+'1,2,3 - PSERS'!O55+'1,2,3 - PSERS'!Q55</f>
        <v>721.98425040650409</v>
      </c>
      <c r="AB54" s="190"/>
      <c r="AC54" s="190"/>
      <c r="AD54" s="189">
        <v>0</v>
      </c>
      <c r="AE54" s="189">
        <v>0</v>
      </c>
      <c r="AF54" s="190"/>
      <c r="AG54" s="190"/>
      <c r="AH54" s="223">
        <f>'1,2,3 - LEOFF_2'!J59+'1,2,3 - LEOFF_2'!L59+'1,2,3 - LEOFF_2'!N59+'1,2,3 - LEOFF_2'!P59</f>
        <v>-60931.29686095241</v>
      </c>
      <c r="AI54" s="223">
        <f>'1,2,3 - LEOFF_2'!K59+'1,2,3 - LEOFF_2'!M59+'1,2,3 - LEOFF_2'!O59+'1,2,3 - LEOFF_2'!Q59</f>
        <v>22807</v>
      </c>
    </row>
    <row r="55" spans="19:35" x14ac:dyDescent="0.4">
      <c r="S55" s="181">
        <v>2022</v>
      </c>
      <c r="T55" s="192"/>
      <c r="U55" s="192"/>
      <c r="V55" s="223">
        <f>'1,2,3 - PERS_2-3'!J56+'1,2,3 - PERS_2-3'!L56+'1,2,3 - PERS_2-3'!N56+'1,2,3 - PERS_2-3'!P56</f>
        <v>-131042</v>
      </c>
      <c r="W55" s="223">
        <f>'1,2,3 - PERS_2-3'!K56+'1,2,3 - PERS_2-3'!M56+'1,2,3 - PERS_2-3'!O56+'1,2,3 - PERS_2-3'!Q56</f>
        <v>86521.185944444587</v>
      </c>
      <c r="X55" s="188">
        <v>0</v>
      </c>
      <c r="Y55" s="188">
        <v>0</v>
      </c>
      <c r="Z55" s="223">
        <f>'1,2,3 - PSERS'!J56+'1,2,3 - PSERS'!L56+'1,2,3 - PSERS'!N56+'1,2,3 - PSERS'!P56</f>
        <v>-83</v>
      </c>
      <c r="AA55" s="223">
        <f>'1,2,3 - PSERS'!K56+'1,2,3 - PSERS'!M56+'1,2,3 - PSERS'!O56+'1,2,3 - PSERS'!Q56</f>
        <v>482.98425040650415</v>
      </c>
      <c r="AB55" s="192"/>
      <c r="AC55" s="192"/>
      <c r="AD55" s="189">
        <v>0</v>
      </c>
      <c r="AE55" s="189">
        <v>0</v>
      </c>
      <c r="AF55" s="192"/>
      <c r="AG55" s="192"/>
      <c r="AH55" s="223">
        <f>'1,2,3 - LEOFF_2'!J60+'1,2,3 - LEOFF_2'!L60+'1,2,3 - LEOFF_2'!N60+'1,2,3 - LEOFF_2'!P60</f>
        <v>-28325.296860952407</v>
      </c>
      <c r="AI55" s="223">
        <f>'1,2,3 - LEOFF_2'!K60+'1,2,3 - LEOFF_2'!M60+'1,2,3 - LEOFF_2'!O60+'1,2,3 - LEOFF_2'!Q60</f>
        <v>22807</v>
      </c>
    </row>
    <row r="56" spans="19:35" x14ac:dyDescent="0.4">
      <c r="S56" s="181">
        <v>2023</v>
      </c>
      <c r="T56" s="194"/>
      <c r="U56" s="194"/>
      <c r="V56" s="223">
        <f>'1,2,3 - PERS_2-3'!J57+'1,2,3 - PERS_2-3'!L57+'1,2,3 - PERS_2-3'!N57+'1,2,3 - PERS_2-3'!P57</f>
        <v>-131042</v>
      </c>
      <c r="W56" s="223">
        <f>'1,2,3 - PERS_2-3'!K57+'1,2,3 - PERS_2-3'!M57+'1,2,3 - PERS_2-3'!O57+'1,2,3 - PERS_2-3'!Q57</f>
        <v>86521.185944444587</v>
      </c>
      <c r="X56" s="188">
        <v>0</v>
      </c>
      <c r="Y56" s="188">
        <v>0</v>
      </c>
      <c r="Z56" s="223">
        <f>'1,2,3 - PSERS'!J57+'1,2,3 - PSERS'!L57+'1,2,3 - PSERS'!N57+'1,2,3 - PSERS'!P57</f>
        <v>-83</v>
      </c>
      <c r="AA56" s="223">
        <f>'1,2,3 - PSERS'!K57+'1,2,3 - PSERS'!M57+'1,2,3 - PSERS'!O57+'1,2,3 - PSERS'!Q57</f>
        <v>433.98425040650415</v>
      </c>
      <c r="AB56" s="194"/>
      <c r="AC56" s="194"/>
      <c r="AD56" s="189">
        <v>0</v>
      </c>
      <c r="AE56" s="189">
        <v>0</v>
      </c>
      <c r="AF56" s="194"/>
      <c r="AG56" s="194"/>
      <c r="AH56" s="223">
        <f>'1,2,3 - LEOFF_2'!J61+'1,2,3 - LEOFF_2'!L61+'1,2,3 - LEOFF_2'!N61+'1,2,3 - LEOFF_2'!P61</f>
        <v>-28325.296860952407</v>
      </c>
      <c r="AI56" s="223">
        <f>'1,2,3 - LEOFF_2'!K61+'1,2,3 - LEOFF_2'!M61+'1,2,3 - LEOFF_2'!O61+'1,2,3 - LEOFF_2'!Q61</f>
        <v>22807</v>
      </c>
    </row>
    <row r="57" spans="19:35" x14ac:dyDescent="0.4">
      <c r="S57" s="181" t="s">
        <v>137</v>
      </c>
      <c r="T57" s="196"/>
      <c r="U57" s="196"/>
      <c r="V57" s="223">
        <f>V58-SUM(V52:V56)</f>
        <v>-39313</v>
      </c>
      <c r="W57" s="223">
        <f>W58-SUM(W52:W56)</f>
        <v>103825.42313333345</v>
      </c>
      <c r="X57" s="188">
        <v>0</v>
      </c>
      <c r="Y57" s="188">
        <v>0</v>
      </c>
      <c r="Z57" s="223">
        <f>Z58-SUM(Z52:Z56)</f>
        <v>-456</v>
      </c>
      <c r="AA57" s="223">
        <f>AA58-SUM(AA52:AA56)</f>
        <v>2734.1007775609764</v>
      </c>
      <c r="AB57" s="196"/>
      <c r="AC57" s="196"/>
      <c r="AD57" s="189">
        <v>0</v>
      </c>
      <c r="AE57" s="189">
        <v>0</v>
      </c>
      <c r="AF57" s="196"/>
      <c r="AG57" s="196"/>
      <c r="AH57" s="223">
        <f>AH58-SUM(AH52:AH56)</f>
        <v>-127463.83587428584</v>
      </c>
      <c r="AI57" s="223">
        <f>AI58-SUM(AI52:AI56)</f>
        <v>82105</v>
      </c>
    </row>
    <row r="58" spans="19:35" ht="21" thickBot="1" x14ac:dyDescent="0.45">
      <c r="S58" s="185" t="s">
        <v>166</v>
      </c>
      <c r="T58" s="197"/>
      <c r="U58" s="197"/>
      <c r="V58" s="326">
        <f>'1,2,3 - PERS_2-3'!J60+'1,2,3 - PERS_2-3'!L60+'1,2,3 - PERS_2-3'!N60+'1,2,3 - PERS_2-3'!P60</f>
        <v>-694523</v>
      </c>
      <c r="W58" s="326">
        <f>'1,2,3 - PERS_2-3'!K60+'1,2,3 - PERS_2-3'!M60+'1,2,3 - PERS_2-3'!O60+'1,2,3 - PERS_2-3'!Q60</f>
        <v>722418.35285555641</v>
      </c>
      <c r="X58" s="197">
        <f t="shared" ref="X58:Y58" si="20">SUM(X52:X57)</f>
        <v>0</v>
      </c>
      <c r="Y58" s="197">
        <f t="shared" si="20"/>
        <v>0</v>
      </c>
      <c r="Z58" s="326">
        <f>'1,2,3 - PSERS'!J65+'1,2,3 - PSERS'!L65+'1,2,3 - PSERS'!N65+'1,2,3 - PSERS'!P65</f>
        <v>-871</v>
      </c>
      <c r="AA58" s="326">
        <f>'1,2,3 - PSERS'!K65+'1,2,3 - PSERS'!M65+'1,2,3 - PSERS'!O65+'1,2,3 - PSERS'!Q65</f>
        <v>5817.0220295934969</v>
      </c>
      <c r="AB58" s="197"/>
      <c r="AC58" s="197"/>
      <c r="AD58" s="198">
        <f t="shared" ref="AD58:AE58" si="21">SUM(AD52:AD57)</f>
        <v>0</v>
      </c>
      <c r="AE58" s="198">
        <f t="shared" si="21"/>
        <v>0</v>
      </c>
      <c r="AF58" s="197"/>
      <c r="AG58" s="197"/>
      <c r="AH58" s="326">
        <f>'1,2,3 - LEOFF_2'!J67+'1,2,3 - LEOFF_2'!L67+'1,2,3 - LEOFF_2'!N67+'1,2,3 - LEOFF_2'!P67</f>
        <v>-370180.32017904788</v>
      </c>
      <c r="AI58" s="326">
        <f>'1,2,3 - LEOFF_2'!K67+'1,2,3 - LEOFF_2'!M67+'1,2,3 - LEOFF_2'!O67+'1,2,3 - LEOFF_2'!Q67</f>
        <v>196140</v>
      </c>
    </row>
    <row r="59" spans="19:35" ht="15" thickTop="1" x14ac:dyDescent="0.4"/>
    <row r="60" spans="19:35" ht="15" thickBot="1" x14ac:dyDescent="0.45"/>
    <row r="61" spans="19:35" x14ac:dyDescent="0.4">
      <c r="S61" s="412" t="s">
        <v>172</v>
      </c>
      <c r="T61" s="413"/>
      <c r="U61" s="413"/>
      <c r="V61" s="413"/>
      <c r="W61" s="413"/>
      <c r="X61" s="413"/>
      <c r="Y61" s="413"/>
      <c r="Z61" s="413"/>
      <c r="AA61" s="413"/>
      <c r="AB61" s="413"/>
      <c r="AC61" s="413"/>
      <c r="AD61" s="413"/>
      <c r="AE61" s="413"/>
      <c r="AF61" s="413"/>
      <c r="AG61" s="413"/>
      <c r="AH61" s="413"/>
      <c r="AI61" s="205"/>
    </row>
    <row r="62" spans="19:35" ht="15" thickBot="1" x14ac:dyDescent="0.45">
      <c r="S62" s="414"/>
      <c r="T62" s="415"/>
      <c r="U62" s="415"/>
      <c r="V62" s="415"/>
      <c r="W62" s="415"/>
      <c r="X62" s="415"/>
      <c r="Y62" s="415"/>
      <c r="Z62" s="415"/>
      <c r="AA62" s="415"/>
      <c r="AB62" s="415"/>
      <c r="AC62" s="415"/>
      <c r="AD62" s="415"/>
      <c r="AE62" s="415"/>
      <c r="AF62" s="415"/>
      <c r="AG62" s="415"/>
      <c r="AH62" s="415"/>
      <c r="AI62" s="206"/>
    </row>
    <row r="63" spans="19:35" x14ac:dyDescent="0.4">
      <c r="S63" s="183" t="s">
        <v>157</v>
      </c>
      <c r="T63" s="416" t="s">
        <v>158</v>
      </c>
      <c r="U63" s="416"/>
      <c r="V63" s="408" t="s">
        <v>159</v>
      </c>
      <c r="W63" s="408"/>
      <c r="X63" s="416" t="s">
        <v>160</v>
      </c>
      <c r="Y63" s="416"/>
      <c r="Z63" s="408" t="s">
        <v>161</v>
      </c>
      <c r="AA63" s="408"/>
      <c r="AB63" s="416" t="s">
        <v>162</v>
      </c>
      <c r="AC63" s="416"/>
      <c r="AD63" s="408" t="s">
        <v>163</v>
      </c>
      <c r="AE63" s="408"/>
      <c r="AF63" s="416" t="s">
        <v>164</v>
      </c>
      <c r="AG63" s="416"/>
      <c r="AH63" s="409" t="s">
        <v>165</v>
      </c>
      <c r="AI63" s="409"/>
    </row>
    <row r="64" spans="19:35" x14ac:dyDescent="0.4">
      <c r="S64" s="202"/>
      <c r="T64" s="420" t="s">
        <v>272</v>
      </c>
      <c r="U64" s="420"/>
      <c r="V64" s="422" t="s">
        <v>272</v>
      </c>
      <c r="W64" s="422"/>
      <c r="X64" s="420" t="s">
        <v>272</v>
      </c>
      <c r="Y64" s="420"/>
      <c r="Z64" s="422" t="s">
        <v>272</v>
      </c>
      <c r="AA64" s="422"/>
      <c r="AB64" s="420" t="s">
        <v>272</v>
      </c>
      <c r="AC64" s="420"/>
      <c r="AD64" s="422" t="s">
        <v>272</v>
      </c>
      <c r="AE64" s="422"/>
      <c r="AF64" s="420" t="s">
        <v>272</v>
      </c>
      <c r="AG64" s="420"/>
      <c r="AH64" s="422" t="s">
        <v>272</v>
      </c>
      <c r="AI64" s="422"/>
    </row>
    <row r="65" spans="19:35" x14ac:dyDescent="0.4">
      <c r="S65" s="181">
        <v>2019</v>
      </c>
      <c r="T65" s="418">
        <f>T13+T25+T39+T52+U13+U25+U39+U52</f>
        <v>18434.97070346</v>
      </c>
      <c r="U65" s="418"/>
      <c r="V65" s="417">
        <f>V13+V25+V39+V52+W13+W25+W39+W52</f>
        <v>-361324.06302795536</v>
      </c>
      <c r="W65" s="417"/>
      <c r="X65" s="418">
        <f>X13+X25+X39+X52+Y13+Y25+Y39+Y52</f>
        <v>0</v>
      </c>
      <c r="Y65" s="418"/>
      <c r="Z65" s="417">
        <f>Z13+Z25+Z39+Z52+AA13+AA25+AA39+AA52</f>
        <v>-313.04494889349485</v>
      </c>
      <c r="AA65" s="417"/>
      <c r="AB65" s="418">
        <f>AB13+AB25+AB39+AB52+AC13+AC25+AC39+AC52</f>
        <v>0</v>
      </c>
      <c r="AC65" s="418"/>
      <c r="AD65" s="417">
        <f>AD13+AD25+AD39+AD52+AE13+AE25+AE39+AE52</f>
        <v>0</v>
      </c>
      <c r="AE65" s="417"/>
      <c r="AF65" s="418">
        <f>AF13+AF25+AF39+AF52+AG13+AG25+AG39+AG52</f>
        <v>198.79232959999999</v>
      </c>
      <c r="AG65" s="418"/>
      <c r="AH65" s="417">
        <f>AH13+AH25+AH39+AH52+AI13+AI25+AI39+AI52</f>
        <v>-288964.09506200237</v>
      </c>
      <c r="AI65" s="417"/>
    </row>
    <row r="66" spans="19:35" x14ac:dyDescent="0.4">
      <c r="S66" s="181">
        <v>2020</v>
      </c>
      <c r="T66" s="418">
        <f>T14+T26+T40+T53+U14+U26+U40+U53</f>
        <v>-92114.063988419992</v>
      </c>
      <c r="U66" s="418"/>
      <c r="V66" s="417">
        <f>V14+V26+V40+V53+W14+W26+W40+W53</f>
        <v>-1000179.0669011554</v>
      </c>
      <c r="W66" s="417"/>
      <c r="X66" s="418">
        <f>X14+X26+X40+X53+Y14+Y26+Y40+Y53</f>
        <v>0</v>
      </c>
      <c r="Y66" s="418"/>
      <c r="Z66" s="417">
        <f>Z14+Z26+Z40+Z53+AA14+AA26+AA40+AA53</f>
        <v>-5900.022255343496</v>
      </c>
      <c r="AA66" s="417"/>
      <c r="AB66" s="418">
        <f>AB14+AB26+AB40+AB53+AC14+AC26+AC40+AC53</f>
        <v>0</v>
      </c>
      <c r="AC66" s="418"/>
      <c r="AD66" s="417">
        <f>AD14+AD26+AD40+AD53+AE14+AE26+AE40+AE53</f>
        <v>0</v>
      </c>
      <c r="AE66" s="417"/>
      <c r="AF66" s="418">
        <f>AF14+AF26+AF40+AF53+AG14+AG26+AG40+AG53</f>
        <v>-46972.12280284</v>
      </c>
      <c r="AG66" s="418"/>
      <c r="AH66" s="417">
        <f>AH14+AH26+AH40+AH53+AI14+AI26+AI40+AI53</f>
        <v>-604534.92057590245</v>
      </c>
      <c r="AI66" s="417"/>
    </row>
    <row r="67" spans="19:35" x14ac:dyDescent="0.4">
      <c r="S67" s="182">
        <v>2021</v>
      </c>
      <c r="T67" s="418">
        <f>T15+T27+T41+T54+U15+U27+U41+U54</f>
        <v>-276408.57515645999</v>
      </c>
      <c r="U67" s="418"/>
      <c r="V67" s="417">
        <f>V15+V27+V41+V54+W15+W27+W41+W54</f>
        <v>-1855984.9397659556</v>
      </c>
      <c r="W67" s="417"/>
      <c r="X67" s="418">
        <f>X15+X27+X41+X54+Y15+Y27+Y41+Y54</f>
        <v>0</v>
      </c>
      <c r="Y67" s="418"/>
      <c r="Z67" s="417">
        <f>Z15+Z27+Z41+Z54+AA15+AA27+AA41+AA54</f>
        <v>-17002.062725383497</v>
      </c>
      <c r="AA67" s="417"/>
      <c r="AB67" s="418">
        <f>AB15+AB27+AB41+AB54+AC15+AC27+AC41+AC54</f>
        <v>0</v>
      </c>
      <c r="AC67" s="418"/>
      <c r="AD67" s="417">
        <f>AD15+AD27+AD41+AD54+AE15+AE27+AE41+AE54</f>
        <v>0</v>
      </c>
      <c r="AE67" s="417"/>
      <c r="AF67" s="418">
        <f>AF15+AF27+AF41+AF54+AG15+AG27+AG41+AG54</f>
        <v>-127933.34900855999</v>
      </c>
      <c r="AG67" s="418"/>
      <c r="AH67" s="417">
        <f>AH15+AH27+AH41+AH54+AI15+AI27+AI41+AI54</f>
        <v>-1271233.1325958825</v>
      </c>
      <c r="AI67" s="417"/>
    </row>
    <row r="68" spans="19:35" x14ac:dyDescent="0.4">
      <c r="S68" s="181">
        <v>2022</v>
      </c>
      <c r="T68" s="418">
        <f>T16+T28+T42+T55+U16+U28+U42+U55</f>
        <v>-71283.301122039993</v>
      </c>
      <c r="U68" s="418"/>
      <c r="V68" s="417">
        <f>V16+V28+V42+V55+W16+W28+W42+W55</f>
        <v>-710553.52628155553</v>
      </c>
      <c r="W68" s="417"/>
      <c r="X68" s="418">
        <f>X16+X28+X42+X55+Y16+Y28+Y42+Y55</f>
        <v>0</v>
      </c>
      <c r="Y68" s="418"/>
      <c r="Z68" s="417">
        <f>Z16+Z28+Z42+Z55+AA16+AA28+AA42+AA55</f>
        <v>-8602.4646359734961</v>
      </c>
      <c r="AA68" s="417"/>
      <c r="AB68" s="418">
        <f>AB16+AB28+AB42+AB55+AC16+AC28+AC42+AC55</f>
        <v>0</v>
      </c>
      <c r="AC68" s="418"/>
      <c r="AD68" s="417">
        <f>AD16+AD28+AD42+AD55+AE16+AE28+AE42+AE55</f>
        <v>0</v>
      </c>
      <c r="AE68" s="417"/>
      <c r="AF68" s="418">
        <f>AF16+AF28+AF42+AF55+AG16+AG28+AG42+AG55</f>
        <v>-33511.45086664</v>
      </c>
      <c r="AG68" s="418"/>
      <c r="AH68" s="417">
        <f>AH16+AH28+AH42+AH55+AI16+AI28+AI42+AI55</f>
        <v>-472031.72861158237</v>
      </c>
      <c r="AI68" s="417"/>
    </row>
    <row r="69" spans="19:35" x14ac:dyDescent="0.4">
      <c r="S69" s="181">
        <v>2023</v>
      </c>
      <c r="T69" s="418">
        <v>0</v>
      </c>
      <c r="U69" s="418"/>
      <c r="V69" s="417">
        <f>V29+V43+V56+W29+W43+W56</f>
        <v>-286275.70660115546</v>
      </c>
      <c r="W69" s="417"/>
      <c r="X69" s="418">
        <f>X29+X43+X56+Y29+Y43+Y56</f>
        <v>0</v>
      </c>
      <c r="Y69" s="418"/>
      <c r="Z69" s="417">
        <f>Z29+Z43+Z56+AA29+AA43+AA56</f>
        <v>-2004.3680658334956</v>
      </c>
      <c r="AA69" s="417"/>
      <c r="AB69" s="418">
        <v>0</v>
      </c>
      <c r="AC69" s="418"/>
      <c r="AD69" s="417">
        <f>AD29+AD43+AD56+AE29+AE43+AE56</f>
        <v>0</v>
      </c>
      <c r="AE69" s="417"/>
      <c r="AF69" s="418">
        <v>0</v>
      </c>
      <c r="AG69" s="418"/>
      <c r="AH69" s="417">
        <f>AH29+AH43+AH56+AI29+AI43+AI56</f>
        <v>-176542.51172344235</v>
      </c>
      <c r="AI69" s="417"/>
    </row>
    <row r="70" spans="19:35" x14ac:dyDescent="0.4">
      <c r="S70" s="181" t="s">
        <v>137</v>
      </c>
      <c r="T70" s="418">
        <v>0</v>
      </c>
      <c r="U70" s="418"/>
      <c r="V70" s="417">
        <f>V30+V44+V57+W30+W44+W57</f>
        <v>-305502.08632706659</v>
      </c>
      <c r="W70" s="417"/>
      <c r="X70" s="418">
        <f>X30+X44+X57+Y30+Y44+Y57</f>
        <v>0</v>
      </c>
      <c r="Y70" s="418"/>
      <c r="Z70" s="417">
        <f>Z30+Z44+Z57+AA30+AA44+AA57</f>
        <v>-12264.854159749022</v>
      </c>
      <c r="AA70" s="417"/>
      <c r="AB70" s="418">
        <v>0</v>
      </c>
      <c r="AC70" s="418"/>
      <c r="AD70" s="417">
        <f>AD30+AD44+AD57+AE30+AE44+AE57</f>
        <v>0</v>
      </c>
      <c r="AE70" s="417"/>
      <c r="AF70" s="418">
        <v>0</v>
      </c>
      <c r="AG70" s="418"/>
      <c r="AH70" s="417">
        <f>AH30+AH44+AH57+AI30+AI44+AI57</f>
        <v>-786028.11895108572</v>
      </c>
      <c r="AI70" s="417"/>
    </row>
    <row r="71" spans="19:35" ht="21" thickBot="1" x14ac:dyDescent="0.45">
      <c r="S71" s="185" t="s">
        <v>271</v>
      </c>
      <c r="T71" s="419">
        <f>SUM(T65:T70)+SUM(U65:U70)</f>
        <v>-421370.96956345998</v>
      </c>
      <c r="U71" s="419"/>
      <c r="V71" s="421">
        <f>SUM(V65:V70)+SUM(W65:W70)</f>
        <v>-4519819.3889048444</v>
      </c>
      <c r="W71" s="421"/>
      <c r="X71" s="419">
        <f>SUM(X65:X70)+SUM(Y65:Y70)</f>
        <v>0</v>
      </c>
      <c r="Y71" s="419"/>
      <c r="Z71" s="421">
        <f>SUM(Z65:Z70)+SUM(AA65:AA70)</f>
        <v>-46086.816791176505</v>
      </c>
      <c r="AA71" s="421"/>
      <c r="AB71" s="419">
        <f>SUM(AB65:AB70)+SUM(AC65:AC70)</f>
        <v>0</v>
      </c>
      <c r="AC71" s="419"/>
      <c r="AD71" s="421">
        <f>SUM(AD65:AD70)+SUM(AE65:AE70)</f>
        <v>0</v>
      </c>
      <c r="AE71" s="421"/>
      <c r="AF71" s="419">
        <f>SUM(AF65:AF70)+SUM(AG65:AG70)</f>
        <v>-208218.13034844</v>
      </c>
      <c r="AG71" s="419"/>
      <c r="AH71" s="421">
        <f>SUM(AH65:AH70)+SUM(AI65:AI70)</f>
        <v>-3599334.507519898</v>
      </c>
      <c r="AI71" s="421"/>
    </row>
    <row r="72" spans="19:35" ht="15" thickTop="1" x14ac:dyDescent="0.4"/>
  </sheetData>
  <sheetProtection password="E63B" sheet="1" objects="1" scenarios="1"/>
  <mergeCells count="139">
    <mergeCell ref="AF69:AG69"/>
    <mergeCell ref="AF70:AG70"/>
    <mergeCell ref="AF71:AG71"/>
    <mergeCell ref="AH64:AI64"/>
    <mergeCell ref="AH65:AI65"/>
    <mergeCell ref="AH66:AI66"/>
    <mergeCell ref="AH67:AI67"/>
    <mergeCell ref="AH68:AI68"/>
    <mergeCell ref="AH69:AI69"/>
    <mergeCell ref="AH70:AI70"/>
    <mergeCell ref="AH71:AI71"/>
    <mergeCell ref="AF64:AG64"/>
    <mergeCell ref="AF65:AG65"/>
    <mergeCell ref="AF66:AG66"/>
    <mergeCell ref="AF67:AG67"/>
    <mergeCell ref="AF68:AG68"/>
    <mergeCell ref="X68:Y68"/>
    <mergeCell ref="X69:Y69"/>
    <mergeCell ref="X70:Y70"/>
    <mergeCell ref="X71:Y71"/>
    <mergeCell ref="AD64:AE64"/>
    <mergeCell ref="AD65:AE65"/>
    <mergeCell ref="AD66:AE66"/>
    <mergeCell ref="AD67:AE67"/>
    <mergeCell ref="AD68:AE68"/>
    <mergeCell ref="AD69:AE69"/>
    <mergeCell ref="AD70:AE70"/>
    <mergeCell ref="AD71:AE71"/>
    <mergeCell ref="Z69:AA69"/>
    <mergeCell ref="Z70:AA70"/>
    <mergeCell ref="Z71:AA71"/>
    <mergeCell ref="AB64:AC64"/>
    <mergeCell ref="AB65:AC65"/>
    <mergeCell ref="AB66:AC66"/>
    <mergeCell ref="AB67:AC67"/>
    <mergeCell ref="AB68:AC68"/>
    <mergeCell ref="AB69:AC69"/>
    <mergeCell ref="AB70:AC70"/>
    <mergeCell ref="AB71:AC71"/>
    <mergeCell ref="Z64:AA64"/>
    <mergeCell ref="Z65:AA65"/>
    <mergeCell ref="Z66:AA66"/>
    <mergeCell ref="Z67:AA67"/>
    <mergeCell ref="Z68:AA68"/>
    <mergeCell ref="T70:U70"/>
    <mergeCell ref="T71:U71"/>
    <mergeCell ref="T64:U64"/>
    <mergeCell ref="V65:W65"/>
    <mergeCell ref="V66:W66"/>
    <mergeCell ref="V67:W67"/>
    <mergeCell ref="V68:W68"/>
    <mergeCell ref="V69:W69"/>
    <mergeCell ref="V70:W70"/>
    <mergeCell ref="V71:W71"/>
    <mergeCell ref="V64:W64"/>
    <mergeCell ref="X64:Y64"/>
    <mergeCell ref="X65:Y65"/>
    <mergeCell ref="X66:Y66"/>
    <mergeCell ref="X67:Y67"/>
    <mergeCell ref="T65:U65"/>
    <mergeCell ref="T66:U66"/>
    <mergeCell ref="T67:U67"/>
    <mergeCell ref="T68:U68"/>
    <mergeCell ref="T69:U69"/>
    <mergeCell ref="AD63:AE63"/>
    <mergeCell ref="AF63:AG63"/>
    <mergeCell ref="AH63:AI63"/>
    <mergeCell ref="T63:U63"/>
    <mergeCell ref="V63:W63"/>
    <mergeCell ref="X63:Y63"/>
    <mergeCell ref="Z63:AA63"/>
    <mergeCell ref="AB63:AC63"/>
    <mergeCell ref="T51:U51"/>
    <mergeCell ref="AB51:AC51"/>
    <mergeCell ref="AF51:AG51"/>
    <mergeCell ref="S61:AH61"/>
    <mergeCell ref="S62:AH62"/>
    <mergeCell ref="S48:AH48"/>
    <mergeCell ref="S49:AH49"/>
    <mergeCell ref="T50:U50"/>
    <mergeCell ref="V50:W50"/>
    <mergeCell ref="X50:Y50"/>
    <mergeCell ref="Z50:AA50"/>
    <mergeCell ref="AB50:AC50"/>
    <mergeCell ref="AD50:AE50"/>
    <mergeCell ref="AF50:AG50"/>
    <mergeCell ref="AH50:AI50"/>
    <mergeCell ref="Z37:AA37"/>
    <mergeCell ref="T23:U23"/>
    <mergeCell ref="S34:AH34"/>
    <mergeCell ref="T38:U38"/>
    <mergeCell ref="AB38:AC38"/>
    <mergeCell ref="AF38:AG38"/>
    <mergeCell ref="X37:Y37"/>
    <mergeCell ref="AB37:AC37"/>
    <mergeCell ref="AD37:AE37"/>
    <mergeCell ref="AF37:AG37"/>
    <mergeCell ref="AH37:AI37"/>
    <mergeCell ref="V23:W23"/>
    <mergeCell ref="X23:Y23"/>
    <mergeCell ref="Z23:AA23"/>
    <mergeCell ref="AB23:AC23"/>
    <mergeCell ref="AD23:AE23"/>
    <mergeCell ref="AF23:AG23"/>
    <mergeCell ref="AH23:AI23"/>
    <mergeCell ref="S35:AH35"/>
    <mergeCell ref="T37:U37"/>
    <mergeCell ref="V37:W37"/>
    <mergeCell ref="S7:AH7"/>
    <mergeCell ref="T24:U24"/>
    <mergeCell ref="AB24:AC24"/>
    <mergeCell ref="AF24:AG24"/>
    <mergeCell ref="S9:AH9"/>
    <mergeCell ref="S10:AH10"/>
    <mergeCell ref="S20:AH20"/>
    <mergeCell ref="S21:AH21"/>
    <mergeCell ref="A7:P7"/>
    <mergeCell ref="A9:P9"/>
    <mergeCell ref="A10:P10"/>
    <mergeCell ref="A20:P20"/>
    <mergeCell ref="A21:P21"/>
    <mergeCell ref="L23:M23"/>
    <mergeCell ref="N23:O23"/>
    <mergeCell ref="P23:Q23"/>
    <mergeCell ref="A34:P34"/>
    <mergeCell ref="A35:P35"/>
    <mergeCell ref="B23:C23"/>
    <mergeCell ref="D23:E23"/>
    <mergeCell ref="B37:C37"/>
    <mergeCell ref="D37:E37"/>
    <mergeCell ref="F37:G37"/>
    <mergeCell ref="H37:I37"/>
    <mergeCell ref="J37:K37"/>
    <mergeCell ref="F23:G23"/>
    <mergeCell ref="H23:I23"/>
    <mergeCell ref="J23:K23"/>
    <mergeCell ref="L37:M37"/>
    <mergeCell ref="N37:O37"/>
    <mergeCell ref="P37:Q37"/>
  </mergeCells>
  <pageMargins left="0.7" right="0.7" top="0.75" bottom="0.75" header="0.3" footer="0.3"/>
  <pageSetup paperSize="5" scale="8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0571AF828E2E4DA972E2849394B635" ma:contentTypeVersion="1" ma:contentTypeDescription="Create a new document." ma:contentTypeScope="" ma:versionID="b329df64ed95da7b0f11538010d06499">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0EEB456-81FE-4979-AF5B-46BD56885571}">
  <ds:schemaRefs>
    <ds:schemaRef ds:uri="http://schemas.microsoft.com/sharepoint/v3/contenttype/forms"/>
  </ds:schemaRefs>
</ds:datastoreItem>
</file>

<file path=customXml/itemProps2.xml><?xml version="1.0" encoding="utf-8"?>
<ds:datastoreItem xmlns:ds="http://schemas.openxmlformats.org/officeDocument/2006/customXml" ds:itemID="{CE753186-06CD-444F-97F0-D3D25AD192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9E0D15-97AA-4EC6-ACCE-B005F800FF55}">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Instructions</vt:lpstr>
      <vt:lpstr>4 - Summary</vt:lpstr>
      <vt:lpstr>1,2,3 - PERS_1</vt:lpstr>
      <vt:lpstr>1,2,3 - PERS_2-3</vt:lpstr>
      <vt:lpstr>1,2,3 - PSERS</vt:lpstr>
      <vt:lpstr>1,2,3 - LEOFF_1</vt:lpstr>
      <vt:lpstr>1,2,3 - LEOFF_2</vt:lpstr>
      <vt:lpstr>5 - SpecFndg</vt:lpstr>
      <vt:lpstr>6 - Amort - Notes</vt:lpstr>
      <vt:lpstr>6 - Sensitivity - Notes</vt:lpstr>
      <vt:lpstr>'1,2,3 - LEOFF_2'!Print_Area</vt:lpstr>
      <vt:lpstr>'1,2,3 - PERS_2-3'!Print_Area</vt:lpstr>
      <vt:lpstr>'6 - Amort - Notes'!Print_Area</vt:lpstr>
    </vt:vector>
  </TitlesOfParts>
  <Company>WA State Auditor's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Burleson, Debra (SAO)</dc:creator>
  <cp:lastModifiedBy>Burleson, Debra (SAO)</cp:lastModifiedBy>
  <cp:lastPrinted>2018-10-24T21:58:14Z</cp:lastPrinted>
  <dcterms:created xsi:type="dcterms:W3CDTF">2016-08-30T23:54:34Z</dcterms:created>
  <dcterms:modified xsi:type="dcterms:W3CDTF">2018-11-15T15:51:49Z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0x010100440571AF828E2E4DA972E2849394B635</vt:lpwstr>
  </property>
</Properties>
</file>